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300\320\322\NNO dotace\2026 Program\Změny projektů\"/>
    </mc:Choice>
  </mc:AlternateContent>
  <xr:revisionPtr revIDLastSave="0" documentId="13_ncr:1_{BA326F2C-0B2B-415F-B421-47311E4CEE4C}" xr6:coauthVersionLast="47" xr6:coauthVersionMax="47" xr10:uidLastSave="{00000000-0000-0000-0000-000000000000}"/>
  <bookViews>
    <workbookView xWindow="-120" yWindow="-120" windowWidth="25440" windowHeight="15390" tabRatio="942" xr2:uid="{00000000-000D-0000-FFFF-FFFF00000000}"/>
  </bookViews>
  <sheets>
    <sheet name="Projekt a žadatel" sheetId="11" r:id="rId1"/>
    <sheet name="Žádost o změnu rozpočtu" sheetId="1" r:id="rId2"/>
    <sheet name="Žádost o změnu procenta" sheetId="10" r:id="rId3"/>
    <sheet name="Žádost o změnu indikátorů" sheetId="14" r:id="rId4"/>
    <sheet name="DB_rozpočtů" sheetId="12" state="hidden" r:id="rId5"/>
  </sheets>
  <definedNames>
    <definedName name="_xlnm._FilterDatabase" localSheetId="4" hidden="1">DB_rozpočtů!$A$1:$CT$25</definedName>
    <definedName name="_xlnm.Print_Area" localSheetId="0">'Projekt a žadatel'!$A$1:$H$54</definedName>
    <definedName name="_xlnm.Print_Area" localSheetId="3">'Žádost o změnu indikátorů'!$A$1:$G$68</definedName>
    <definedName name="_xlnm.Print_Area" localSheetId="2">'Žádost o změnu procenta'!$A$1:$E$44</definedName>
    <definedName name="_xlnm.Print_Area" localSheetId="1">'Žádost o změnu rozpočtu'!$A$1:$E$67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D19" i="1"/>
  <c r="A6" i="14"/>
  <c r="AO9" i="12" l="1"/>
  <c r="D4" i="11" l="1"/>
  <c r="AK25" i="12" l="1"/>
  <c r="AK24" i="12"/>
  <c r="AK23" i="12"/>
  <c r="AK22" i="12"/>
  <c r="AK21" i="12"/>
  <c r="AK20" i="12"/>
  <c r="AK19" i="12"/>
  <c r="AK18" i="12"/>
  <c r="AK17" i="12"/>
  <c r="AK16" i="12"/>
  <c r="AK15" i="12"/>
  <c r="AK14" i="12"/>
  <c r="AK13" i="12"/>
  <c r="AK12" i="12"/>
  <c r="AK11" i="12"/>
  <c r="AK10" i="12"/>
  <c r="AK9" i="12"/>
  <c r="AK8" i="12"/>
  <c r="AK7" i="12"/>
  <c r="AK6" i="12"/>
  <c r="AK5" i="12"/>
  <c r="AK4" i="12"/>
  <c r="AK3" i="12"/>
  <c r="AE25" i="12"/>
  <c r="AE23" i="12"/>
  <c r="AE21" i="12"/>
  <c r="AE19" i="12"/>
  <c r="AE17" i="12"/>
  <c r="AE15" i="12"/>
  <c r="AE13" i="12"/>
  <c r="AE11" i="12"/>
  <c r="AE9" i="12"/>
  <c r="AE7" i="12"/>
  <c r="AE5" i="12"/>
  <c r="AE3" i="12"/>
  <c r="D33" i="1"/>
  <c r="BP1" i="12"/>
  <c r="BO1" i="12"/>
  <c r="BN1" i="12"/>
  <c r="BM1" i="12"/>
  <c r="BQ1" i="12"/>
  <c r="AE24" i="12"/>
  <c r="AE22" i="12"/>
  <c r="AE20" i="12"/>
  <c r="AE18" i="12"/>
  <c r="AE16" i="12"/>
  <c r="AE14" i="12"/>
  <c r="AE12" i="12"/>
  <c r="AE10" i="12"/>
  <c r="AE8" i="12"/>
  <c r="AE6" i="12"/>
  <c r="AE4" i="12"/>
  <c r="D49" i="14" l="1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C5" i="14" l="1"/>
  <c r="K11" i="1" l="1"/>
  <c r="C6" i="1"/>
  <c r="C3" i="1" l="1"/>
  <c r="F23" i="11"/>
  <c r="E22" i="11"/>
  <c r="K33" i="1"/>
  <c r="K23" i="1"/>
  <c r="K16" i="1"/>
  <c r="K12" i="1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A3" i="12"/>
  <c r="C11" i="1" l="1"/>
  <c r="C20" i="1"/>
  <c r="C19" i="1" s="1"/>
  <c r="C54" i="1"/>
  <c r="C32" i="14"/>
  <c r="C28" i="14"/>
  <c r="D34" i="14"/>
  <c r="D30" i="14"/>
  <c r="D26" i="14"/>
  <c r="D23" i="14"/>
  <c r="D21" i="14"/>
  <c r="D19" i="14"/>
  <c r="D17" i="14"/>
  <c r="C55" i="1"/>
  <c r="D27" i="14"/>
  <c r="D20" i="14"/>
  <c r="B55" i="1"/>
  <c r="C25" i="14"/>
  <c r="C24" i="14"/>
  <c r="C20" i="14"/>
  <c r="C40" i="1"/>
  <c r="C31" i="14"/>
  <c r="C27" i="14"/>
  <c r="D33" i="14"/>
  <c r="D29" i="14"/>
  <c r="D25" i="14"/>
  <c r="C23" i="14"/>
  <c r="C21" i="14"/>
  <c r="C19" i="14"/>
  <c r="C17" i="14"/>
  <c r="C34" i="14"/>
  <c r="C30" i="14"/>
  <c r="C26" i="14"/>
  <c r="D32" i="14"/>
  <c r="D24" i="14"/>
  <c r="D22" i="14"/>
  <c r="C18" i="14"/>
  <c r="C33" i="14"/>
  <c r="C29" i="14"/>
  <c r="D31" i="14"/>
  <c r="D28" i="14"/>
  <c r="C22" i="14"/>
  <c r="D18" i="14"/>
  <c r="C42" i="1"/>
  <c r="C41" i="1"/>
  <c r="C14" i="10"/>
  <c r="C13" i="10"/>
  <c r="F32" i="14"/>
  <c r="F28" i="14"/>
  <c r="F24" i="14"/>
  <c r="F20" i="14"/>
  <c r="B31" i="14"/>
  <c r="B27" i="14"/>
  <c r="B23" i="14"/>
  <c r="B19" i="14"/>
  <c r="B34" i="14"/>
  <c r="B26" i="14"/>
  <c r="B18" i="14"/>
  <c r="B29" i="14"/>
  <c r="F17" i="14"/>
  <c r="F25" i="14"/>
  <c r="B20" i="14"/>
  <c r="C57" i="1"/>
  <c r="F31" i="14"/>
  <c r="F27" i="14"/>
  <c r="F23" i="14"/>
  <c r="F19" i="14"/>
  <c r="B30" i="14"/>
  <c r="B22" i="14"/>
  <c r="B17" i="14"/>
  <c r="B21" i="14"/>
  <c r="F29" i="14"/>
  <c r="B24" i="14"/>
  <c r="F34" i="14"/>
  <c r="F30" i="14"/>
  <c r="F26" i="14"/>
  <c r="F22" i="14"/>
  <c r="F18" i="14"/>
  <c r="B33" i="14"/>
  <c r="B25" i="14"/>
  <c r="F33" i="14"/>
  <c r="F21" i="14"/>
  <c r="B32" i="14"/>
  <c r="B28" i="14"/>
  <c r="B25" i="1"/>
  <c r="C53" i="1"/>
  <c r="B53" i="1"/>
  <c r="B54" i="1"/>
  <c r="B45" i="1"/>
  <c r="C6" i="11"/>
  <c r="F6" i="11" s="1"/>
  <c r="B24" i="1"/>
  <c r="B44" i="1"/>
  <c r="C64" i="1"/>
  <c r="B21" i="1"/>
  <c r="B42" i="1"/>
  <c r="B51" i="1"/>
  <c r="B41" i="10"/>
  <c r="B22" i="1"/>
  <c r="B43" i="1"/>
  <c r="B52" i="1"/>
  <c r="C68" i="14"/>
  <c r="C51" i="1"/>
  <c r="B74" i="1"/>
  <c r="C39" i="1"/>
  <c r="C22" i="1"/>
  <c r="C52" i="1"/>
  <c r="C35" i="1"/>
  <c r="C17" i="1"/>
  <c r="C43" i="1"/>
  <c r="C18" i="1"/>
  <c r="C24" i="1"/>
  <c r="C44" i="1"/>
  <c r="C13" i="1"/>
  <c r="C25" i="1"/>
  <c r="C37" i="1"/>
  <c r="C45" i="1"/>
  <c r="C36" i="1"/>
  <c r="C14" i="1"/>
  <c r="C21" i="1"/>
  <c r="C34" i="1"/>
  <c r="C38" i="1"/>
  <c r="K56" i="1"/>
  <c r="K60" i="1" s="1"/>
  <c r="K58" i="1" s="1"/>
  <c r="C5" i="11"/>
  <c r="F5" i="11" s="1"/>
  <c r="C74" i="1" l="1"/>
  <c r="D74" i="1" s="1"/>
  <c r="D23" i="1"/>
  <c r="D16" i="1"/>
  <c r="D12" i="1"/>
  <c r="EM1" i="12"/>
  <c r="EL1" i="12"/>
  <c r="EK1" i="12"/>
  <c r="EJ1" i="12"/>
  <c r="EI1" i="12"/>
  <c r="EH1" i="12"/>
  <c r="EG1" i="12"/>
  <c r="EF1" i="12"/>
  <c r="EE1" i="12"/>
  <c r="ED1" i="12"/>
  <c r="EC1" i="12"/>
  <c r="EB1" i="12"/>
  <c r="EA1" i="12"/>
  <c r="DZ1" i="12"/>
  <c r="DY1" i="12"/>
  <c r="DX1" i="12"/>
  <c r="DW1" i="12"/>
  <c r="DV1" i="12"/>
  <c r="DU1" i="12"/>
  <c r="DT1" i="12"/>
  <c r="DS1" i="12"/>
  <c r="DR1" i="12"/>
  <c r="DQ1" i="12"/>
  <c r="DP1" i="12"/>
  <c r="DO1" i="12"/>
  <c r="DN1" i="12"/>
  <c r="DM1" i="12"/>
  <c r="DL1" i="12"/>
  <c r="DK1" i="12"/>
  <c r="DJ1" i="12"/>
  <c r="DI1" i="12"/>
  <c r="DH1" i="12"/>
  <c r="DG1" i="12"/>
  <c r="DF1" i="12"/>
  <c r="DE1" i="12"/>
  <c r="DD1" i="12"/>
  <c r="DC1" i="12"/>
  <c r="DB1" i="12"/>
  <c r="DA1" i="12"/>
  <c r="CZ1" i="12"/>
  <c r="CY1" i="12"/>
  <c r="CX1" i="12"/>
  <c r="CW1" i="12"/>
  <c r="CV1" i="12"/>
  <c r="CU1" i="12"/>
  <c r="CT1" i="12"/>
  <c r="CS1" i="12"/>
  <c r="CR1" i="12"/>
  <c r="CQ1" i="12"/>
  <c r="CP1" i="12"/>
  <c r="CO1" i="12"/>
  <c r="CN1" i="12"/>
  <c r="CM1" i="12"/>
  <c r="CL1" i="12"/>
  <c r="CK1" i="12"/>
  <c r="CJ1" i="12"/>
  <c r="CI1" i="12"/>
  <c r="CH1" i="12"/>
  <c r="CG1" i="12"/>
  <c r="CF1" i="12"/>
  <c r="CE1" i="12"/>
  <c r="CD1" i="12"/>
  <c r="CC1" i="12"/>
  <c r="CB1" i="12"/>
  <c r="CA1" i="12"/>
  <c r="BZ1" i="12"/>
  <c r="BY1" i="12"/>
  <c r="BX1" i="12"/>
  <c r="BW1" i="12"/>
  <c r="BV1" i="12"/>
  <c r="BU1" i="12"/>
  <c r="BT1" i="12"/>
  <c r="BS1" i="12"/>
  <c r="BR1" i="12"/>
  <c r="BL1" i="12"/>
  <c r="BK1" i="12"/>
  <c r="BJ1" i="12"/>
  <c r="BI1" i="12"/>
  <c r="BH1" i="12"/>
  <c r="BG1" i="12"/>
  <c r="BF1" i="12"/>
  <c r="BE1" i="12"/>
  <c r="BD1" i="12"/>
  <c r="BC1" i="12"/>
  <c r="BB1" i="12"/>
  <c r="BA1" i="12"/>
  <c r="AZ1" i="12"/>
  <c r="AY1" i="12"/>
  <c r="AX1" i="12"/>
  <c r="AW1" i="12"/>
  <c r="AV1" i="12"/>
  <c r="AU1" i="12"/>
  <c r="AT1" i="12"/>
  <c r="AS1" i="12"/>
  <c r="AR1" i="12"/>
  <c r="AQ1" i="12"/>
  <c r="AP1" i="12"/>
  <c r="AO1" i="12"/>
  <c r="AN1" i="12"/>
  <c r="AM1" i="12"/>
  <c r="AL1" i="12"/>
  <c r="AK1" i="12"/>
  <c r="AJ1" i="12"/>
  <c r="AI1" i="12"/>
  <c r="AH1" i="12"/>
  <c r="AG1" i="12"/>
  <c r="AF1" i="12"/>
  <c r="AE1" i="12"/>
  <c r="AD1" i="12"/>
  <c r="AC1" i="12"/>
  <c r="AB1" i="12"/>
  <c r="AA1" i="12"/>
  <c r="Z1" i="12"/>
  <c r="Y1" i="12"/>
  <c r="X1" i="12"/>
  <c r="W1" i="12"/>
  <c r="V1" i="12"/>
  <c r="U1" i="12"/>
  <c r="T1" i="12"/>
  <c r="S1" i="12"/>
  <c r="R1" i="12"/>
  <c r="Q1" i="12"/>
  <c r="P1" i="12"/>
  <c r="O1" i="12"/>
  <c r="N1" i="12"/>
  <c r="D56" i="1" l="1"/>
  <c r="D60" i="1" s="1"/>
  <c r="E4" i="11" l="1"/>
  <c r="F53" i="1" l="1"/>
  <c r="F52" i="1"/>
  <c r="F22" i="1"/>
  <c r="C2" i="14" l="1"/>
  <c r="B15" i="14" s="1"/>
  <c r="A7" i="1" l="1"/>
  <c r="A2" i="10" l="1"/>
  <c r="F1" i="10"/>
  <c r="F11" i="1"/>
  <c r="M1" i="12"/>
  <c r="C6" i="10"/>
  <c r="C2" i="1"/>
  <c r="C3" i="10" s="1"/>
  <c r="L1" i="12"/>
  <c r="K1" i="12"/>
  <c r="J1" i="12"/>
  <c r="I1" i="12"/>
  <c r="H1" i="12"/>
  <c r="G1" i="12"/>
  <c r="F1" i="12"/>
  <c r="E1" i="12"/>
  <c r="D1" i="12"/>
  <c r="C1" i="12"/>
  <c r="B1" i="12"/>
  <c r="D7" i="14" l="1"/>
  <c r="F40" i="1"/>
  <c r="F36" i="1"/>
  <c r="F35" i="1"/>
  <c r="F43" i="1"/>
  <c r="F24" i="1"/>
  <c r="C21" i="10"/>
  <c r="F44" i="1"/>
  <c r="F39" i="1"/>
  <c r="F37" i="1"/>
  <c r="F38" i="1"/>
  <c r="F18" i="1"/>
  <c r="F45" i="1"/>
  <c r="F17" i="1"/>
  <c r="F25" i="1"/>
  <c r="F14" i="1"/>
  <c r="F15" i="1"/>
  <c r="F51" i="1"/>
  <c r="C23" i="10" l="1"/>
  <c r="C24" i="10" s="1"/>
  <c r="D24" i="10" s="1"/>
  <c r="F34" i="1"/>
  <c r="A8" i="10"/>
  <c r="C8" i="1"/>
  <c r="C4" i="14"/>
  <c r="C3" i="14"/>
  <c r="C12" i="1"/>
  <c r="C77" i="1" s="1"/>
  <c r="C15" i="10"/>
  <c r="C16" i="10" s="1"/>
  <c r="C4" i="1"/>
  <c r="C5" i="1"/>
  <c r="C5" i="10" s="1"/>
  <c r="C16" i="1"/>
  <c r="C23" i="1"/>
  <c r="F13" i="1"/>
  <c r="F42" i="1"/>
  <c r="C82" i="1"/>
  <c r="F82" i="1" s="1"/>
  <c r="F57" i="1"/>
  <c r="D58" i="1"/>
  <c r="C72" i="1" s="1"/>
  <c r="D72" i="1" s="1"/>
  <c r="C80" i="1" l="1"/>
  <c r="F80" i="1" s="1"/>
  <c r="F20" i="1"/>
  <c r="A40" i="10"/>
  <c r="C4" i="10"/>
  <c r="C78" i="1"/>
  <c r="F78" i="1" s="1"/>
  <c r="F77" i="1"/>
  <c r="C79" i="1"/>
  <c r="F79" i="1" s="1"/>
  <c r="F72" i="1"/>
  <c r="C33" i="1" l="1"/>
  <c r="F41" i="1"/>
  <c r="C81" i="1" l="1"/>
  <c r="F81" i="1" s="1"/>
  <c r="F83" i="1" s="1"/>
  <c r="B65" i="1" s="1"/>
  <c r="C56" i="1"/>
  <c r="C60" i="1" s="1"/>
  <c r="C58" i="1" s="1"/>
  <c r="A1" i="1" l="1"/>
  <c r="A8" i="1"/>
  <c r="F56" i="1"/>
  <c r="F12" i="1" s="1"/>
  <c r="G12" i="1" s="1"/>
  <c r="C71" i="1"/>
  <c r="D71" i="1" s="1"/>
  <c r="F71" i="1" s="1"/>
  <c r="C73" i="1" l="1"/>
  <c r="D73" i="1" s="1"/>
  <c r="F73" i="1" s="1"/>
  <c r="B62" i="1" s="1"/>
</calcChain>
</file>

<file path=xl/sharedStrings.xml><?xml version="1.0" encoding="utf-8"?>
<sst xmlns="http://schemas.openxmlformats.org/spreadsheetml/2006/main" count="2182" uniqueCount="750">
  <si>
    <t>Název položky</t>
  </si>
  <si>
    <t xml:space="preserve">Tisk </t>
  </si>
  <si>
    <t>Ostatní osobní náklady  (DPP )</t>
  </si>
  <si>
    <t>Název projektu:</t>
  </si>
  <si>
    <t>Kraj</t>
  </si>
  <si>
    <t>Telefon</t>
  </si>
  <si>
    <t>Kód</t>
  </si>
  <si>
    <t>1.1.</t>
  </si>
  <si>
    <t>1.2.</t>
  </si>
  <si>
    <t>1.3.</t>
  </si>
  <si>
    <t>2.1.</t>
  </si>
  <si>
    <t>3.1.</t>
  </si>
  <si>
    <t>Celkem</t>
  </si>
  <si>
    <t>Cestovné</t>
  </si>
  <si>
    <t xml:space="preserve">Grafické práce, předtisková úprava </t>
  </si>
  <si>
    <t xml:space="preserve">Pronájem prostor a techniky </t>
  </si>
  <si>
    <t xml:space="preserve">Distribuce </t>
  </si>
  <si>
    <t>3.</t>
  </si>
  <si>
    <t>Osobní náklady celkem :</t>
  </si>
  <si>
    <t>2.</t>
  </si>
  <si>
    <t>1.</t>
  </si>
  <si>
    <t>Nákup materiálu celkem:</t>
  </si>
  <si>
    <t>Cestovné celkem :</t>
  </si>
  <si>
    <t>Služby (subdodávky) celkem:</t>
  </si>
  <si>
    <t>Investiční náklady</t>
  </si>
  <si>
    <t>IČ</t>
  </si>
  <si>
    <t>2.2</t>
  </si>
  <si>
    <t>Provoz služebního vozidla</t>
  </si>
  <si>
    <t>Projekt</t>
  </si>
  <si>
    <t>---</t>
  </si>
  <si>
    <t>Číslo Rozhodnutí:</t>
  </si>
  <si>
    <t>Název a adresa žadatele:</t>
  </si>
  <si>
    <t>IČ žadatele:</t>
  </si>
  <si>
    <t>Žádost o změnu procentního podílu dotace</t>
  </si>
  <si>
    <t>Výše dotace:</t>
  </si>
  <si>
    <t>Původní rozpočet projektu</t>
  </si>
  <si>
    <t>Nestátní zdroje:</t>
  </si>
  <si>
    <t>Celkový rozpočet</t>
  </si>
  <si>
    <t>% dotace</t>
  </si>
  <si>
    <t>Požadovaná změna</t>
  </si>
  <si>
    <t>Statutární zástupce:</t>
  </si>
  <si>
    <t>Číslo</t>
  </si>
  <si>
    <t>NSK</t>
  </si>
  <si>
    <t>PID</t>
  </si>
  <si>
    <t>Informace k formuláři:</t>
  </si>
  <si>
    <t>Žádost o změnu rozpočtu</t>
  </si>
  <si>
    <t>Prostřednictvím tohoto formuláře lze podat následující žádosti o změnu projektu:</t>
  </si>
  <si>
    <t>Jak postupovat?</t>
  </si>
  <si>
    <t>Oznamujeme změnu / žádáme o změnu rozpočtu</t>
  </si>
  <si>
    <t>K jednotlivým druhům změn:</t>
  </si>
  <si>
    <t>Vyplňte novou výši kofinancování a podrobné zdůvodnění</t>
  </si>
  <si>
    <t>Organizace</t>
  </si>
  <si>
    <t>Ulice</t>
  </si>
  <si>
    <t>Čp</t>
  </si>
  <si>
    <t>čo</t>
  </si>
  <si>
    <t>Dům</t>
  </si>
  <si>
    <t>PSČ</t>
  </si>
  <si>
    <t>Město</t>
  </si>
  <si>
    <t>Statutar titul před</t>
  </si>
  <si>
    <t>Statutar jméno</t>
  </si>
  <si>
    <t>Statutar titul za</t>
  </si>
  <si>
    <t>Statutár_celé</t>
  </si>
  <si>
    <t>email</t>
  </si>
  <si>
    <t>Spis</t>
  </si>
  <si>
    <t>Účet</t>
  </si>
  <si>
    <t>Celý účet</t>
  </si>
  <si>
    <t>Program</t>
  </si>
  <si>
    <t>Kompletní adr</t>
  </si>
  <si>
    <t xml:space="preserve">Účetní služby </t>
  </si>
  <si>
    <t>Konzultační, poradenské a právní služby</t>
  </si>
  <si>
    <t>Školitelé, tlumočníci, autoři textů, korektoři, překladatelé</t>
  </si>
  <si>
    <t>5</t>
  </si>
  <si>
    <t xml:space="preserve">%  režijních nákladů žádáných z rozpočtu dotace </t>
  </si>
  <si>
    <t xml:space="preserve">Zaměstnanci - mzdové náklady zaměstnavatele včetně zákonných  odvodů </t>
  </si>
  <si>
    <t xml:space="preserve">Honoráře dlouhodobých externích pracovníků projektu 
</t>
  </si>
  <si>
    <t>Materiálové náklady (spotřební materiál atp.)</t>
  </si>
  <si>
    <t>Osobní náklady</t>
  </si>
  <si>
    <t>Materiál</t>
  </si>
  <si>
    <t>Služby</t>
  </si>
  <si>
    <t>Žádáme o změnu (zvýšení) procentního podílu dotace</t>
  </si>
  <si>
    <t>Žádost o změnu (zvýšení) procentního podílu dotace</t>
  </si>
  <si>
    <t>Podrobné zdůvodnění žádosti o navýšení podílu dotace</t>
  </si>
  <si>
    <t>Režie</t>
  </si>
  <si>
    <t>Vyhodnocení žádaných změn:</t>
  </si>
  <si>
    <t>Vyhodnocení formální správnosti formuláře:</t>
  </si>
  <si>
    <t>Původní a upravený rozpočet odpovídají</t>
  </si>
  <si>
    <t>Všechny změny položek jsou zdůvodněné</t>
  </si>
  <si>
    <t>Žádáme o navýšení procentního podílu dotace</t>
  </si>
  <si>
    <t>IČ zapisujte bez mezer včetně předsazených nul</t>
  </si>
  <si>
    <t>Žádost o změnu závazných indikátorů projektu</t>
  </si>
  <si>
    <t>Žádáme o změnu závazných indikátorů projektu</t>
  </si>
  <si>
    <t>11</t>
  </si>
  <si>
    <t>12</t>
  </si>
  <si>
    <t>ks</t>
  </si>
  <si>
    <t>počet</t>
  </si>
  <si>
    <t>Dobrovolnické akce</t>
  </si>
  <si>
    <t>Newsletter</t>
  </si>
  <si>
    <t>Příspěvky na sociálních sítích</t>
  </si>
  <si>
    <t>ha</t>
  </si>
  <si>
    <t>Žádáme o změnu závazných projektových výstupů</t>
  </si>
  <si>
    <t>Indikátor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</si>
  <si>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</si>
  <si>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</si>
  <si>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</si>
  <si>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</si>
  <si>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</si>
  <si>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</si>
  <si>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</si>
  <si>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</si>
  <si>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</si>
  <si>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Zdůvodnění změny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</si>
  <si>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</si>
  <si>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</si>
  <si>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</si>
  <si>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</si>
  <si>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</si>
  <si>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</si>
  <si>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</si>
  <si>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</si>
  <si>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</si>
  <si>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</si>
  <si>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V</t>
  </si>
  <si>
    <t>dne</t>
  </si>
  <si>
    <t>Žádost o změnu závazných projektových výstupů</t>
  </si>
  <si>
    <t>Ve formuláři je možné dále navrhnout nové závazné výstupy projektu (např. jako náhradu výstupů původních)</t>
  </si>
  <si>
    <t>Změnu výstupů projektu doporučujeme předem konzultovat.</t>
  </si>
  <si>
    <t>Změna struktury kofinancování nepodléhá ani žádosti ani oznámení</t>
  </si>
  <si>
    <t>Odborné / zpravodajské články</t>
  </si>
  <si>
    <t>Příspěvky publikované na sociálních sítích</t>
  </si>
  <si>
    <t>Zapojení dobrovolníků</t>
  </si>
  <si>
    <t>Akce pro širokou veřejnost</t>
  </si>
  <si>
    <t>Publikační výstupy</t>
  </si>
  <si>
    <t>Počet zapojených dobrovolníků</t>
  </si>
  <si>
    <t>Zapojení dobrovolníci</t>
  </si>
  <si>
    <t>osob</t>
  </si>
  <si>
    <t>Přiřazení k indikátoru programu</t>
  </si>
  <si>
    <t xml:space="preserve">Počet přímých provedených péčí o území / prací v terénu / monitoringů </t>
  </si>
  <si>
    <t xml:space="preserve">Počet vysazených / ošetřených stromů </t>
  </si>
  <si>
    <t xml:space="preserve">Počet odborných / zpravodajských článků </t>
  </si>
  <si>
    <t xml:space="preserve">Počet akcí pro odbornou / širokou veřejnost / specifické cílové skupiny </t>
  </si>
  <si>
    <t xml:space="preserve">Počet příspěvků publikovaných na sociálních sítích </t>
  </si>
  <si>
    <t xml:space="preserve">Počet poradenských případů, konzultací </t>
  </si>
  <si>
    <t xml:space="preserve">Počet ekologických výukových programů </t>
  </si>
  <si>
    <t xml:space="preserve">Počet publikačních výstupů </t>
  </si>
  <si>
    <t xml:space="preserve">Počet zapojených dobrovolníků </t>
  </si>
  <si>
    <t>Nová hodnota (pouze číslo)</t>
  </si>
  <si>
    <t>V jednom formuláři můžete podat všechny změny - podávané změny prosím specifikujte níže:</t>
  </si>
  <si>
    <t>Službycelk</t>
  </si>
  <si>
    <t>7celk</t>
  </si>
  <si>
    <t>5.</t>
  </si>
  <si>
    <t>Akce pro veřejnost</t>
  </si>
  <si>
    <t>Informační leták</t>
  </si>
  <si>
    <t>V jednotlivých formulářích vyplňujte vždy zeleně (resp. červeně) rastrovaná pole - ostatní pole mohou být zamčená</t>
  </si>
  <si>
    <t>Formulář vložte do zprávy Změna projektu do systému Grantys MŽP a zároveň  jej zašlete datovou schránkou.</t>
  </si>
  <si>
    <t>060</t>
  </si>
  <si>
    <t>109</t>
  </si>
  <si>
    <t>001</t>
  </si>
  <si>
    <t>Číslo Rozhodnutí (vč. předsazených nul):</t>
  </si>
  <si>
    <t>Účetní služby</t>
  </si>
  <si>
    <t>3.2.</t>
  </si>
  <si>
    <t>4.1.</t>
  </si>
  <si>
    <t>4.2.</t>
  </si>
  <si>
    <t>5.1.</t>
  </si>
  <si>
    <t>5.2.</t>
  </si>
  <si>
    <t>5.3.</t>
  </si>
  <si>
    <t>5.4.</t>
  </si>
  <si>
    <t>5.5.</t>
  </si>
  <si>
    <t>5.6.</t>
  </si>
  <si>
    <t>5.7.</t>
  </si>
  <si>
    <t>5.8.</t>
  </si>
  <si>
    <t>t</t>
  </si>
  <si>
    <t>Webinář</t>
  </si>
  <si>
    <t>13</t>
  </si>
  <si>
    <t>14</t>
  </si>
  <si>
    <t>N11</t>
  </si>
  <si>
    <t>N12</t>
  </si>
  <si>
    <t>N13</t>
  </si>
  <si>
    <t>N14</t>
  </si>
  <si>
    <t>N15</t>
  </si>
  <si>
    <t>Formulář vložte do systému GRANTYS MŽP a současně jej zašlete datovou schránkou.</t>
  </si>
  <si>
    <t>Níže uvedený přehled slouží pouze pro informaci</t>
  </si>
  <si>
    <t>V případě, že se jedná o podstatnou změnu, vložte do zprávy Změna projektu do systému Grantys MŽP a zároveň  jej zašlete datovou schránkou.</t>
  </si>
  <si>
    <r>
      <t xml:space="preserve">IČ žadatele </t>
    </r>
    <r>
      <rPr>
        <sz val="12"/>
        <rFont val="Calibri"/>
        <family val="2"/>
        <charset val="238"/>
        <scheme val="minor"/>
      </rPr>
      <t>(vč. předsazených nul):</t>
    </r>
  </si>
  <si>
    <t>Procentní podíl dotace nesmí ani po změně přesáhnout 70 %</t>
  </si>
  <si>
    <t>Při odesílání souboru se žádostí  zachovejte formát souboru (Excel) a nepřevádějte formulář do jiných formátů (PDF).</t>
  </si>
  <si>
    <t>Hodnota v Rozhodnutí</t>
  </si>
  <si>
    <t>3.3.</t>
  </si>
  <si>
    <t>Drobný dlouhodobý majetek celkem:</t>
  </si>
  <si>
    <t>4.</t>
  </si>
  <si>
    <t xml:space="preserve">Údržba a aktual.  webových stránek, zpracování dat </t>
  </si>
  <si>
    <t>5.9.</t>
  </si>
  <si>
    <t>5.10.</t>
  </si>
  <si>
    <t>5.11.</t>
  </si>
  <si>
    <t>5.12.</t>
  </si>
  <si>
    <t>5.13.</t>
  </si>
  <si>
    <t>5.14.</t>
  </si>
  <si>
    <t>5.15.</t>
  </si>
  <si>
    <t>Mezisoučet kapitoly 1-5</t>
  </si>
  <si>
    <t>Jednotka</t>
  </si>
  <si>
    <t>Podprogram</t>
  </si>
  <si>
    <t>A</t>
  </si>
  <si>
    <t>PPG</t>
  </si>
  <si>
    <t>084</t>
  </si>
  <si>
    <t>B</t>
  </si>
  <si>
    <t>C</t>
  </si>
  <si>
    <t>ZO ČSOP VERONICA</t>
  </si>
  <si>
    <t>Lenka Petrlíková Mašková</t>
  </si>
  <si>
    <t>Zdeněk Vermouzek</t>
  </si>
  <si>
    <t>Karel Kříž</t>
  </si>
  <si>
    <t>Jan Korytář</t>
  </si>
  <si>
    <t>Milan Maršálek</t>
  </si>
  <si>
    <t>Zdeněk Ševčík</t>
  </si>
  <si>
    <t>Yvonna Gaillyová</t>
  </si>
  <si>
    <t>1-1 Osobní</t>
  </si>
  <si>
    <t>1-2 Osobní</t>
  </si>
  <si>
    <t>1-Celkem</t>
  </si>
  <si>
    <t>2-1 cestovné-CES</t>
  </si>
  <si>
    <t>2-1 cestovné-OA</t>
  </si>
  <si>
    <t>2-1 cestovné-celk</t>
  </si>
  <si>
    <t>3-1 mat</t>
  </si>
  <si>
    <t>3-2 matt</t>
  </si>
  <si>
    <t>3-2 matk</t>
  </si>
  <si>
    <t>3-3 matt</t>
  </si>
  <si>
    <t>3-3 matk</t>
  </si>
  <si>
    <t>3-Mat-celk</t>
  </si>
  <si>
    <t>4-1 DDHMt</t>
  </si>
  <si>
    <t>4-1 DDHMk</t>
  </si>
  <si>
    <t>4-2 DDHMt</t>
  </si>
  <si>
    <t>4-2 DDHMk</t>
  </si>
  <si>
    <t>4-celk</t>
  </si>
  <si>
    <t>Údržba a aktualizace webových stránek, zpracování dat</t>
  </si>
  <si>
    <t>Grafické práce, předtisková úprava</t>
  </si>
  <si>
    <t>Tisk</t>
  </si>
  <si>
    <t>Distribuce</t>
  </si>
  <si>
    <t>Pronájem prostor a techniky</t>
  </si>
  <si>
    <t>ost1-t</t>
  </si>
  <si>
    <t>ost1-k</t>
  </si>
  <si>
    <t>ost2-t</t>
  </si>
  <si>
    <t>ost2-k</t>
  </si>
  <si>
    <t>ost3-t</t>
  </si>
  <si>
    <t>ost3-k</t>
  </si>
  <si>
    <t>ost4-t</t>
  </si>
  <si>
    <t>ost4-k</t>
  </si>
  <si>
    <t>ost5-t</t>
  </si>
  <si>
    <t>ost5-k</t>
  </si>
  <si>
    <t>ost6-t</t>
  </si>
  <si>
    <t>ost6-k</t>
  </si>
  <si>
    <t>ost7-t</t>
  </si>
  <si>
    <t>ost7-k</t>
  </si>
  <si>
    <t>Rezie</t>
  </si>
  <si>
    <t>Práce tiskového mluvčího</t>
  </si>
  <si>
    <t>Tvorba videí</t>
  </si>
  <si>
    <t>v pořádku</t>
  </si>
  <si>
    <r>
      <t xml:space="preserve">Zdůvodnění  změny
</t>
    </r>
    <r>
      <rPr>
        <b/>
        <i/>
        <sz val="12"/>
        <color rgb="FFFF0000"/>
        <rFont val="Calibri"/>
        <family val="2"/>
        <charset val="238"/>
        <scheme val="minor"/>
      </rPr>
      <t>(v případě, že chcete přidat položku v kapitolách 3, 4 a 5, napište do zdůvodnění i její popis)</t>
    </r>
  </si>
  <si>
    <t>Změny rozpočtu dotace (první žádost o změnu - nebylo vydáno Změnové rozhodnutí):</t>
  </si>
  <si>
    <r>
      <t xml:space="preserve">Do zelených polí ve sloupci D vyplňte kompletní nový rozpočet </t>
    </r>
    <r>
      <rPr>
        <b/>
        <sz val="11"/>
        <rFont val="Calibri"/>
        <family val="2"/>
        <charset val="238"/>
        <scheme val="minor"/>
      </rPr>
      <t>dotace</t>
    </r>
    <r>
      <rPr>
        <sz val="11"/>
        <rFont val="Calibri"/>
        <family val="2"/>
        <charset val="238"/>
        <scheme val="minor"/>
      </rPr>
      <t xml:space="preserve"> ve smyslu změn</t>
    </r>
  </si>
  <si>
    <t>U položek, kde došlo ke změně, uveďte stručně důvod, proč žádáte o změnu</t>
  </si>
  <si>
    <t>Bylo již vydáno změnové rozhodnutí?</t>
  </si>
  <si>
    <t>kof</t>
  </si>
  <si>
    <t>i1naz</t>
  </si>
  <si>
    <t>I1mj</t>
  </si>
  <si>
    <t>i1poc</t>
  </si>
  <si>
    <t>i1prg</t>
  </si>
  <si>
    <t>i2naz</t>
  </si>
  <si>
    <t>i2mj</t>
  </si>
  <si>
    <t>i2poc</t>
  </si>
  <si>
    <t>i2prg</t>
  </si>
  <si>
    <t>i3naz</t>
  </si>
  <si>
    <t>i3mj</t>
  </si>
  <si>
    <t>i3poc</t>
  </si>
  <si>
    <t>i3prg</t>
  </si>
  <si>
    <t>i4naz</t>
  </si>
  <si>
    <t>i4mj</t>
  </si>
  <si>
    <t>i4poc</t>
  </si>
  <si>
    <t>i4prg</t>
  </si>
  <si>
    <t>i5naz</t>
  </si>
  <si>
    <t>i5mj</t>
  </si>
  <si>
    <t>i5poc</t>
  </si>
  <si>
    <t>i5prg</t>
  </si>
  <si>
    <t>i6naz</t>
  </si>
  <si>
    <t>i6mj</t>
  </si>
  <si>
    <t>i6poc</t>
  </si>
  <si>
    <t>i6prg</t>
  </si>
  <si>
    <t>i7naz</t>
  </si>
  <si>
    <t>i7mj</t>
  </si>
  <si>
    <t>i7poc</t>
  </si>
  <si>
    <t>i7prg</t>
  </si>
  <si>
    <t>i8naz</t>
  </si>
  <si>
    <t>i8mj</t>
  </si>
  <si>
    <t>i8poc</t>
  </si>
  <si>
    <t>i8prg</t>
  </si>
  <si>
    <t>i9naz</t>
  </si>
  <si>
    <t>i9mj</t>
  </si>
  <si>
    <t>i9poc</t>
  </si>
  <si>
    <t>i9prg</t>
  </si>
  <si>
    <t>i10naz</t>
  </si>
  <si>
    <t>i10mj</t>
  </si>
  <si>
    <t>i10poc</t>
  </si>
  <si>
    <t>i10prg</t>
  </si>
  <si>
    <t>i11naz</t>
  </si>
  <si>
    <t>i11mj</t>
  </si>
  <si>
    <t>i11poc</t>
  </si>
  <si>
    <t>i11prg</t>
  </si>
  <si>
    <t>i12naz</t>
  </si>
  <si>
    <t>i12mj</t>
  </si>
  <si>
    <t>i12poc</t>
  </si>
  <si>
    <t>i12prg</t>
  </si>
  <si>
    <t>i13naz</t>
  </si>
  <si>
    <t>i13mj</t>
  </si>
  <si>
    <t>i13poc</t>
  </si>
  <si>
    <t>i13prg</t>
  </si>
  <si>
    <t>i14naz</t>
  </si>
  <si>
    <t>i14mj</t>
  </si>
  <si>
    <t>i14poc</t>
  </si>
  <si>
    <t>i14prg</t>
  </si>
  <si>
    <t>i15naz</t>
  </si>
  <si>
    <t>i15mj</t>
  </si>
  <si>
    <t>i15poc</t>
  </si>
  <si>
    <t>i15prg</t>
  </si>
  <si>
    <t>i16naz</t>
  </si>
  <si>
    <t>i16mj</t>
  </si>
  <si>
    <t>i16poc</t>
  </si>
  <si>
    <t>i16prg</t>
  </si>
  <si>
    <t>i17naz</t>
  </si>
  <si>
    <t>i17mj</t>
  </si>
  <si>
    <t>i17poc</t>
  </si>
  <si>
    <t>i17prg</t>
  </si>
  <si>
    <t>i18naz</t>
  </si>
  <si>
    <t>i18mj</t>
  </si>
  <si>
    <t>i18poc</t>
  </si>
  <si>
    <t>i18prg</t>
  </si>
  <si>
    <t>Počet přímých provedených péčí o území / prací v terénu - bodová opatření</t>
  </si>
  <si>
    <t>Monitoring biodiverzity - plošný monitoring</t>
  </si>
  <si>
    <t>Zpravodajské články</t>
  </si>
  <si>
    <t>Poradenské případy a konzultace</t>
  </si>
  <si>
    <t>Množství zlikvidovaného / recyklovaného / znovuvyužitého odpadu</t>
  </si>
  <si>
    <t>Monitoring biodiverzity - bodové objekty</t>
  </si>
  <si>
    <t>Péče o studánky a jejich okolí</t>
  </si>
  <si>
    <t>Akce pro odbornou / širokou veřejnost / specifické cílové skupiny/participativní akce</t>
  </si>
  <si>
    <t>Rozšíření plochy pozemkových spolků</t>
  </si>
  <si>
    <t>Sloupec1</t>
  </si>
  <si>
    <t>Sloupec2</t>
  </si>
  <si>
    <t>Sloupec3</t>
  </si>
  <si>
    <t>Sloupec4</t>
  </si>
  <si>
    <t>15</t>
  </si>
  <si>
    <t>16</t>
  </si>
  <si>
    <t>17</t>
  </si>
  <si>
    <t>18</t>
  </si>
  <si>
    <t>Komentáře, podrobnější zdůvodnění (uveďte proč je třeba indikátory změnit a jaký dopad bude mít změna na naplnění cílů projektu)</t>
  </si>
  <si>
    <t>2-Počet přímých provedených péčí o území / prací v terénu - bodová opatření</t>
  </si>
  <si>
    <t>3-Monitoring biodiverzity - plošný monitoring</t>
  </si>
  <si>
    <t>4-Monitoring biodiverzity - bodové objekty</t>
  </si>
  <si>
    <t>účastníků</t>
  </si>
  <si>
    <t>12-Množství zlikvidovaného / recyklovaného / znovuvyužitého odpadu</t>
  </si>
  <si>
    <t>15-Rozšíření plochy pozemkových spolků</t>
  </si>
  <si>
    <t>Každý z nově navrhovaných indikátorů musí být přiřazen k indikátoru programu a dodržena komplementarita indikátorů - viz příručka pro žadatele)</t>
  </si>
  <si>
    <t xml:space="preserve">Nejprve vyplňte na tomto listu Podprogram,  číslo Rozhodnutí a IČ organizace - do formuláře se načtou data o příslušném projektu. </t>
  </si>
  <si>
    <t>6.</t>
  </si>
  <si>
    <t>----</t>
  </si>
  <si>
    <r>
      <t xml:space="preserve">Jak vyplnit žádost o změnu indikátorů
</t>
    </r>
    <r>
      <rPr>
        <sz val="10"/>
        <color rgb="FFFF0000"/>
        <rFont val="Calibri"/>
        <family val="2"/>
        <charset val="238"/>
        <scheme val="minor"/>
      </rPr>
      <t xml:space="preserve">Do zelených polí v tabulce níže vyplňte kompletní přehled indikátorů ve smyslu vámi požadované změny. Pokud žádáte vypuštění některého z indikátorů, uveďte jako novou hodnotu nulu. Každou změnu zdůvodněte. Hodnotu indikátorů vyčíslujte v jednotkách, které jsou uvedeny. Změny každého indikátoru stručně zdůvodněte. </t>
    </r>
    <r>
      <rPr>
        <b/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color rgb="FFFF0000"/>
        <rFont val="Calibri"/>
        <family val="2"/>
        <charset val="238"/>
        <scheme val="minor"/>
      </rPr>
      <t xml:space="preserve">
Pokud navrhujete zařazení nových indikátorů, které nebyly v měněném Rozhodnutí uvedeny (např. jako náhradu indikátorů, které požadujete vypustit), lze tak na řádcích 35 - 49. Ke každému novému indikátoru vyberte ve sloupci F přiřazení k indikátoru programu a vyčíslete jej v jednotkách, které se po výběru přiřazení zobrazí. </t>
    </r>
    <r>
      <rPr>
        <b/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b/>
        <sz val="10"/>
        <color rgb="FFFF0000"/>
        <rFont val="Calibri"/>
        <family val="2"/>
        <charset val="238"/>
        <scheme val="minor"/>
      </rPr>
      <t>Dodržujte komplementaritu indikátorů</t>
    </r>
    <r>
      <rPr>
        <sz val="10"/>
        <color rgb="FFFF0000"/>
        <rFont val="Calibri"/>
        <family val="2"/>
        <charset val="238"/>
        <scheme val="minor"/>
      </rPr>
      <t xml:space="preserve"> (podrobněji viz příručka) - </t>
    </r>
    <r>
      <rPr>
        <i/>
        <sz val="10"/>
        <color rgb="FFFF0000"/>
        <rFont val="Calibri"/>
        <family val="2"/>
        <charset val="238"/>
        <scheme val="minor"/>
      </rPr>
      <t>například k indikátoru počet akcí (10a) musí být uveden i  indikátor počet účastníků (10b). Komplementární indikátory mají vždy v kódu uvedeno písmeno (a - počet; b - dopad)</t>
    </r>
    <r>
      <rPr>
        <sz val="10"/>
        <color rgb="FFFF0000"/>
        <rFont val="Calibri"/>
        <family val="2"/>
        <charset val="238"/>
        <scheme val="minor"/>
      </rPr>
      <t xml:space="preserve">.
</t>
    </r>
    <r>
      <rPr>
        <b/>
        <sz val="10"/>
        <color rgb="FFFF0000"/>
        <rFont val="Calibri"/>
        <family val="2"/>
        <charset val="238"/>
        <scheme val="minor"/>
      </rPr>
      <t xml:space="preserve">
V závěrečném komentáři uveďte celkové důvody pro požadovanou změnu a dopad změny na dosažení plánovaných cílů projektu.</t>
    </r>
  </si>
  <si>
    <t>004</t>
  </si>
  <si>
    <t>025</t>
  </si>
  <si>
    <t>119</t>
  </si>
  <si>
    <t>Barbora Semeráková</t>
  </si>
  <si>
    <t>Ostatní služby</t>
  </si>
  <si>
    <t>Tiskový mluvčí</t>
  </si>
  <si>
    <t>Lektor webináře</t>
  </si>
  <si>
    <t>5.16.</t>
  </si>
  <si>
    <t>5.17.</t>
  </si>
  <si>
    <t>hodin</t>
  </si>
  <si>
    <t>Objem dobrovolnické práce</t>
  </si>
  <si>
    <t>Dopad příspěvků publikovaných na sociálních sítích</t>
  </si>
  <si>
    <t>Počet stažení studie</t>
  </si>
  <si>
    <t>Dosah příspěvků na sociálních sítích</t>
  </si>
  <si>
    <t>Sledovanost příspěvků na sociálních sítích</t>
  </si>
  <si>
    <t>Účastníci webináře</t>
  </si>
  <si>
    <t>Články</t>
  </si>
  <si>
    <t>Dopad příspěvků na sociálních sítích</t>
  </si>
  <si>
    <t>Individuální poradenství na farmách</t>
  </si>
  <si>
    <t>ARNIKA - program Toxické látky a odpady</t>
  </si>
  <si>
    <t>Sdružení mladých ochránců přírody Českého svazu ochránců přírody</t>
  </si>
  <si>
    <t>Česká společnost ornitologická</t>
  </si>
  <si>
    <t>Český svaz ochránců přírody</t>
  </si>
  <si>
    <t>Čmelák - Společnost přátel přírody z.s.</t>
  </si>
  <si>
    <t>Mladí ochránci přírody, z. s.</t>
  </si>
  <si>
    <t>Tradice Bílých Karpat, z.s.</t>
  </si>
  <si>
    <t>TEREZA, vzdělávací centrum, z.ú.</t>
  </si>
  <si>
    <t>Náklady na realizaci dílčích opatření</t>
  </si>
  <si>
    <t>Služby pro aktivity (konference, semináře apod.)</t>
  </si>
  <si>
    <t>Dosah akcí pro odbornou / širokou veřejnost / specifické cílové skupiny/participativní akce</t>
  </si>
  <si>
    <t>Dosah publikačních výstupů</t>
  </si>
  <si>
    <t>Síť středisek ekologické výchovy Pavučina, z. s.</t>
  </si>
  <si>
    <t>Rozpočet dotace podle požadované změny</t>
  </si>
  <si>
    <r>
      <t xml:space="preserve">V případě, že se jedná o nepodstatnou změnu, zašlete formulář na e-mail </t>
    </r>
    <r>
      <rPr>
        <b/>
        <sz val="11"/>
        <color theme="3"/>
        <rFont val="Calibri"/>
        <family val="2"/>
        <charset val="238"/>
        <scheme val="minor"/>
      </rPr>
      <t>petra.novakova@mzp.gov.cz</t>
    </r>
    <r>
      <rPr>
        <sz val="11"/>
        <rFont val="Calibri"/>
        <family val="2"/>
        <charset val="238"/>
        <scheme val="minor"/>
      </rPr>
      <t xml:space="preserve"> a vložte jej do formuláře do zprávy Změna v systému Grantys MŽP</t>
    </r>
  </si>
  <si>
    <t>ANO</t>
  </si>
  <si>
    <t>Provádění změn v projektech Programu pro NNO 2026</t>
  </si>
  <si>
    <t>Verze formuláře 1/2026; 29.4.2026</t>
  </si>
  <si>
    <t>O provedení podstatných změn je možné žádat nejpozději do 30. 11. 2026 (datum prokazatelného odeslání žádosti).</t>
  </si>
  <si>
    <t>010</t>
  </si>
  <si>
    <t>011</t>
  </si>
  <si>
    <t>028</t>
  </si>
  <si>
    <t>029</t>
  </si>
  <si>
    <t>030</t>
  </si>
  <si>
    <t>034</t>
  </si>
  <si>
    <t>061</t>
  </si>
  <si>
    <t>077</t>
  </si>
  <si>
    <t>101</t>
  </si>
  <si>
    <t>115</t>
  </si>
  <si>
    <t>127</t>
  </si>
  <si>
    <t>135</t>
  </si>
  <si>
    <t>141</t>
  </si>
  <si>
    <t>201</t>
  </si>
  <si>
    <t>202</t>
  </si>
  <si>
    <t>301</t>
  </si>
  <si>
    <t>01/71 ZO ČSOP KONIKLEC</t>
  </si>
  <si>
    <t>ADRA, o.p.s.</t>
  </si>
  <si>
    <t>Carboneg Institute z. ú.</t>
  </si>
  <si>
    <t>Hnutí DUHA Šelmy</t>
  </si>
  <si>
    <t>Charita Olomouc</t>
  </si>
  <si>
    <t>NESEHNUTÍ Brno</t>
  </si>
  <si>
    <t>Svaz zakládání a údržby zeleně</t>
  </si>
  <si>
    <t>VČELÍ STRÁŽ z.s.</t>
  </si>
  <si>
    <t>Zerowasters, z.ú.</t>
  </si>
  <si>
    <t>Ostromečská 448/3, Praha 3, 13000</t>
  </si>
  <si>
    <t>Markova 600/6, Praha 5, 15800</t>
  </si>
  <si>
    <t>Seifertova 327/85, Praha 3, 13000</t>
  </si>
  <si>
    <t>Doudlebská 1699/5, Praha 4, 14000</t>
  </si>
  <si>
    <t>Na bělidle 252/34, Praha 5, 15000</t>
  </si>
  <si>
    <t>Švermova 32/35, Liberec, 46010</t>
  </si>
  <si>
    <t>Dolní náměstí 27/38, Olomouc, 77900</t>
  </si>
  <si>
    <t>Wurmova 588/5, Olomouc, 77900</t>
  </si>
  <si>
    <t>Dittrichova 337/9, Praha 2, 12000</t>
  </si>
  <si>
    <t>Křížová 15, Brno, Brno, 60300</t>
  </si>
  <si>
    <t>Michelská 48/5, Praha 4, 14000</t>
  </si>
  <si>
    <t>Údolní 567/33, Brno, 60200</t>
  </si>
  <si>
    <t>Haštalská 756/17, Praha 1, 11000</t>
  </si>
  <si>
    <t>Hostětín 4, Hostětín, 68771</t>
  </si>
  <si>
    <t>Čs. legií 1874, Rakovník, 26901</t>
  </si>
  <si>
    <t>Jílovská 1151/43, Praha 4, 14200</t>
  </si>
  <si>
    <t>Panská 363/9, Brno,  60200</t>
  </si>
  <si>
    <t>Senovážné náměstí 977/24, Praha 1, 11000</t>
  </si>
  <si>
    <t>Barbara Doležalová</t>
  </si>
  <si>
    <t>Radomír Špinka</t>
  </si>
  <si>
    <t>Václav Kurel</t>
  </si>
  <si>
    <t>Michal Feller</t>
  </si>
  <si>
    <t>Petr Prinz</t>
  </si>
  <si>
    <t>Jana Stribralová</t>
  </si>
  <si>
    <t>Jaromír Němec</t>
  </si>
  <si>
    <t>Jana Šimečková</t>
  </si>
  <si>
    <t>Jiří Cafourek</t>
  </si>
  <si>
    <t>Veronika Nováčková</t>
  </si>
  <si>
    <t>Blanka Toušková</t>
  </si>
  <si>
    <t>Ochrana mokřadů na Praze 12 2026</t>
  </si>
  <si>
    <t>Země pro vnoučata – evironmentální vzdělávání pro seniory</t>
  </si>
  <si>
    <t>Konzumuj chytře: Průvodce udržitelnou spotřebou bez toxických látek</t>
  </si>
  <si>
    <t>Plasty bez mýtů: Informovaná veřejnost a silné obce</t>
  </si>
  <si>
    <t>REGE-FARMS – Učíme se z půdy</t>
  </si>
  <si>
    <t>Každé hnízdo se počítá!</t>
  </si>
  <si>
    <t>Pečujeme o hnízdiště mokřadních ptáků</t>
  </si>
  <si>
    <t>Ptačí pasti</t>
  </si>
  <si>
    <t>Modelová přeměna smrkové monokultury na přírodě blízký les na demonstračním objektu Nový Prales</t>
  </si>
  <si>
    <t>Mýty a fakta o velkých šelmách: Vlčí a Rysí hlídky ve středních a západních Čechách</t>
  </si>
  <si>
    <t>Druhá Dobrodruhá re-use centrum</t>
  </si>
  <si>
    <t>Studánka v roce 2026? Ano, studánka!</t>
  </si>
  <si>
    <t>Mezigenerační dialog pro udržitelnou městskou krajinu</t>
  </si>
  <si>
    <t>Metodika pro mladé ochránce přírody</t>
  </si>
  <si>
    <t>Zelené fasády a statika budov</t>
  </si>
  <si>
    <t>PŘÍRODA BEZ HRANIC / NATURE WITHOUT BORDERS - Překračujeme hranice učeben, předmětů, jazyků i tradičního pojetí výuky</t>
  </si>
  <si>
    <t>V říši opeřenců aneb strasti a radosti ptáků zpěváků</t>
  </si>
  <si>
    <t>ZLATÝ OPYLOVATEL</t>
  </si>
  <si>
    <t>Týden bez odpadu 10. ročník</t>
  </si>
  <si>
    <t>Mokřady kolem nás</t>
  </si>
  <si>
    <t>Otevřený program Ochrana biodiverzity v roce 2026</t>
  </si>
  <si>
    <t>Podpora vzniku a rozvoje pozemkových spolků 2026</t>
  </si>
  <si>
    <t>Podpora rozvoje poskytovatelů environmentálního vzdělávání, výchovy a osvěty a environmentálního poradenství v České republice</t>
  </si>
  <si>
    <t>aku křovinořez</t>
  </si>
  <si>
    <t>Binokulární dalekohled</t>
  </si>
  <si>
    <t>akumulátory pro křovinořez a řetězovou pilu, aku nůžky, aku řetězová pila</t>
  </si>
  <si>
    <t>Finanční řízení projektu</t>
  </si>
  <si>
    <t>Mozaikovitá seč Na Beránku ruční</t>
  </si>
  <si>
    <t>Mozaikovitá seč v Cholupicích strojová</t>
  </si>
  <si>
    <t>Prořezávka obou lokalit</t>
  </si>
  <si>
    <t>Seč a shrab nové louky vč. odstranění biomasy</t>
  </si>
  <si>
    <t>vstupné na exkurze</t>
  </si>
  <si>
    <t>ostatní služby - pronájem autobusu exkurze</t>
  </si>
  <si>
    <t>Analýzy spotřebního zboží na vybrané látky koordinované společně s ostatními partnery Life Projektu</t>
  </si>
  <si>
    <t>Placené příspěvky na sociálních sítích (propagace projektu)</t>
  </si>
  <si>
    <t>Příprava a propagace příspěvků na sociálních sítích</t>
  </si>
  <si>
    <t>Správa kontaktů a rozesílka newsletterů</t>
  </si>
  <si>
    <t>Služby fotografa a videomakera</t>
  </si>
  <si>
    <t>Pronájem platformy pro osvětový kvíz</t>
  </si>
  <si>
    <t>Náklady hostitelské farmy</t>
  </si>
  <si>
    <t>Oprava naučné stezky</t>
  </si>
  <si>
    <t>Rozšíření naučné stezky</t>
  </si>
  <si>
    <t>Kácení stromů, práce s pilou</t>
  </si>
  <si>
    <t>Ubytování</t>
  </si>
  <si>
    <t>Fotograf</t>
  </si>
  <si>
    <t>Reklama na sociálních sítích</t>
  </si>
  <si>
    <t>Ilustrace</t>
  </si>
  <si>
    <t>Fotografování a úprava fotek</t>
  </si>
  <si>
    <t>Služby technického zajištění měření hmotnosti vzrostlých pnoucích rostlin</t>
  </si>
  <si>
    <t>Ubytování - finále soutěže</t>
  </si>
  <si>
    <t>Video-foto dokumentace</t>
  </si>
  <si>
    <t>Reklamní prostor</t>
  </si>
  <si>
    <t>Doprovodný program - finále</t>
  </si>
  <si>
    <t>Služby PR, komunikace, správy sociálních sítí</t>
  </si>
  <si>
    <t>Produkční služby</t>
  </si>
  <si>
    <t>Služby webového specialisty</t>
  </si>
  <si>
    <t>Audiovizuální tým/produkce videa</t>
  </si>
  <si>
    <t>Placená online propagace</t>
  </si>
  <si>
    <t>Služby finančního specialisty</t>
  </si>
  <si>
    <t>Náklady na realizaci dílčích opatření - pilotní akce</t>
  </si>
  <si>
    <t>Náklady na realizace dílčích opatření - propagační a managementové činnosti</t>
  </si>
  <si>
    <t>Realizace nové databáze pozemkových spolků</t>
  </si>
  <si>
    <t>Náklady na lektory seminářů pro programové pracovníky poskytovatelů EVVO a EP</t>
  </si>
  <si>
    <t>Organizační zajištění pro třídenní semináře pro programové pracovníky poskytovatelů EVVO a EP</t>
  </si>
  <si>
    <t>Krajské konference MRKEV a Mrkvička</t>
  </si>
  <si>
    <t>Časopis Bedrník, Informační bulletin Mrkvička šéfredaktorka</t>
  </si>
  <si>
    <t>Příklady dobré praxe EVVO a EP</t>
  </si>
  <si>
    <t>Semináře pro veřejnou správu</t>
  </si>
  <si>
    <t>Mozaiková seč</t>
  </si>
  <si>
    <t>(1) Plocha území přímých provedených péčí o území / prací v terénu – plošná opatření</t>
  </si>
  <si>
    <t>Seč nové louky</t>
  </si>
  <si>
    <t>Prořezávka a odstranění náletů</t>
  </si>
  <si>
    <t>(2) Počet přímých provedených péčí o území / prací v terénu – bodová opatření</t>
  </si>
  <si>
    <t xml:space="preserve">(6) Odborné / zpravodajské články </t>
  </si>
  <si>
    <t>Participatnivní akce</t>
  </si>
  <si>
    <t>(7a) Akce pro odbornou / širokou veřejnost / specifické cílové skupiny/participativní akce</t>
  </si>
  <si>
    <t>Účastníků participativních akcí</t>
  </si>
  <si>
    <t xml:space="preserve">(7b) Dosah akcí pro odbornou / širokou veřejnost / specifické cílové skupiny/participativní akce </t>
  </si>
  <si>
    <t>(8a) Příspěvky publikované na sociálních sítích</t>
  </si>
  <si>
    <t>počet zhlédnutí</t>
  </si>
  <si>
    <t>(8b) Dopad příspěvků publikovaných na sociálních sítích</t>
  </si>
  <si>
    <t>Infografiky</t>
  </si>
  <si>
    <t>(11a) Publikační výstupy</t>
  </si>
  <si>
    <t>Dosah infografik</t>
  </si>
  <si>
    <t>náklad/zhlédnutí/stažení</t>
  </si>
  <si>
    <t>(11b) Dosah publikačních výstupů</t>
  </si>
  <si>
    <t>(13a) Počet zapojených dobrovolníků</t>
  </si>
  <si>
    <t>Počet hodin odpracovaných dobrovolníky</t>
  </si>
  <si>
    <t>(13b) Objem dobrovolnické práce</t>
  </si>
  <si>
    <t>Vzdělávacní setkání</t>
  </si>
  <si>
    <t>Účastníci vzdělávacích setkání</t>
  </si>
  <si>
    <t>Zpracovaná publikovaná studie+briefing paper</t>
  </si>
  <si>
    <t>Studie shrnující změny chování spotřebitelů</t>
  </si>
  <si>
    <t>Počet stažení studie Změny chování spotřebitelů</t>
  </si>
  <si>
    <t>Články na blogu Arniky</t>
  </si>
  <si>
    <t>Dosah příspěvkůh na sociálních sítích</t>
  </si>
  <si>
    <t>Odborná konference/seminář pro státní správu a odbornou veřejnost</t>
  </si>
  <si>
    <t>Počet účastníků konference/semináře</t>
  </si>
  <si>
    <t>Newsletter pro spotřebitele</t>
  </si>
  <si>
    <t>Počet odběratelů newsletteru</t>
  </si>
  <si>
    <t>Kurz pro ambasadory (online i prezenční)</t>
  </si>
  <si>
    <t>Počet účastníků kurzu pro ambasadory</t>
  </si>
  <si>
    <t>Briefing paper s doporučeními</t>
  </si>
  <si>
    <t>Počet stažení briefing paperu</t>
  </si>
  <si>
    <t>Počet účastníků webináře</t>
  </si>
  <si>
    <t>Newsletter pro veřejnost</t>
  </si>
  <si>
    <t>Počet odběratelů newsletteru pro veřejnost</t>
  </si>
  <si>
    <t>Factsheety/infografiky</t>
  </si>
  <si>
    <t>Počet stažení factsheetů/infografik</t>
  </si>
  <si>
    <t>Newsletter pro obce a komunity</t>
  </si>
  <si>
    <t>Počet odběratelů newsletteru pro obce a komunity</t>
  </si>
  <si>
    <t>Polní dny</t>
  </si>
  <si>
    <t>Počet účastníků polních dnů</t>
  </si>
  <si>
    <t>Ochráněná hnízda bahňáků</t>
  </si>
  <si>
    <t>Monitoring bahňáků v zemědělské krajině</t>
  </si>
  <si>
    <t>(3) Monitoring biodiverzity – plošný monitoring</t>
  </si>
  <si>
    <t>Workshopy a přednáška zaměřené na praktickou ochranu polních ptáků zemědělské krajiny</t>
  </si>
  <si>
    <t>Účastníci workshopů</t>
  </si>
  <si>
    <t>(9) Poradenské případy a konzultace</t>
  </si>
  <si>
    <t>Příspěvky na sociálních sítích - ochrana ptáků</t>
  </si>
  <si>
    <t>Metodika - Drony v ochraně ptáků: Metodika pro praxi</t>
  </si>
  <si>
    <t>Počet stažení metodiky</t>
  </si>
  <si>
    <t>Ruční seč a odvoz hmoty mimo předmětnu plochu</t>
  </si>
  <si>
    <t>Zaříznutí vrb na hlavu</t>
  </si>
  <si>
    <t>Objem práce</t>
  </si>
  <si>
    <t>(7b) Akce pro odbornou / širokou veřejnost / specifické cílové skupiny/participativní akce</t>
  </si>
  <si>
    <t>Akce zapojení mládežnicích organizací do dobrovolnické činnosti</t>
  </si>
  <si>
    <t>Zapojení mládežnicích organizací do dobrovolnické činnosti</t>
  </si>
  <si>
    <t>Firemní dobrovolnické dny</t>
  </si>
  <si>
    <t>Počet účastníků na firemních dobrovolnických dnech</t>
  </si>
  <si>
    <t>počet shlédnutí</t>
  </si>
  <si>
    <t>(8b) Dopad příspěvků publikovaných na sociáních sítích</t>
  </si>
  <si>
    <t>Program Ptačí pasti</t>
  </si>
  <si>
    <t>Účastníci programu Ptačí pasti</t>
  </si>
  <si>
    <t>Příspěvky na sociálních sítích - kampaň k zapojení do sběru dat</t>
  </si>
  <si>
    <t>Články na webu</t>
  </si>
  <si>
    <t>Článek v časopisu Ptačí svět</t>
  </si>
  <si>
    <t>Díl podcastu Ptačí řeči</t>
  </si>
  <si>
    <t>Dosah podcastu Ptačí řeči</t>
  </si>
  <si>
    <t>Webinář Ornitolog na drátě</t>
  </si>
  <si>
    <t>Dosah webináře Ornitolog na drátě</t>
  </si>
  <si>
    <t>Tištěná brožura Ptačí pasti</t>
  </si>
  <si>
    <t>Náklad brožury Ptačí pasti</t>
  </si>
  <si>
    <t>Sledovanost podcastu</t>
  </si>
  <si>
    <t>Rekonstrukce webu karbofuran.cz</t>
  </si>
  <si>
    <t>Návštěvnost webu karbofuran.cz</t>
  </si>
  <si>
    <t>Opatření pro přípravu revitalizace území</t>
  </si>
  <si>
    <t>Účast na dobrovolnických akcích</t>
  </si>
  <si>
    <t>Workshop</t>
  </si>
  <si>
    <t>Účastíci workshopu</t>
  </si>
  <si>
    <t>Obnova naučné stezky</t>
  </si>
  <si>
    <t>Exkurze do Nového pralesa</t>
  </si>
  <si>
    <t>počet nových programů</t>
  </si>
  <si>
    <t>Účastníci exkurze do Nového pralesa</t>
  </si>
  <si>
    <t>počet účastníků</t>
  </si>
  <si>
    <t>Úvodní školení pro nové dobrovolníky</t>
  </si>
  <si>
    <t>Účastníci úvodního školení pro nové dobrovolníky</t>
  </si>
  <si>
    <t>Letní setkání dobrovolníků</t>
  </si>
  <si>
    <t>Účastníci letního setkání dobrovolníků</t>
  </si>
  <si>
    <t>Akce Vlčích a Rysích hlídek</t>
  </si>
  <si>
    <t>Účastníci akcí Vlčích a Rysích hlídek</t>
  </si>
  <si>
    <t>Individuální monitorovací pochůzky</t>
  </si>
  <si>
    <t>Účastníci monitorovacích pochůzek</t>
  </si>
  <si>
    <t>Zapojení dobrovolníků - Školení, letní setkání,  akce hlídek, individuální pochůzky</t>
  </si>
  <si>
    <t>Webová podstránka</t>
  </si>
  <si>
    <t>Dosah webové podstránky</t>
  </si>
  <si>
    <t>Příspěvky na sociálních sítích a videospoty</t>
  </si>
  <si>
    <t>Dosah příspěvků na sociálních sítích videospotů</t>
  </si>
  <si>
    <t>Infostánky</t>
  </si>
  <si>
    <t>Počet účastníků infostánků</t>
  </si>
  <si>
    <t>Sebraný odpad</t>
  </si>
  <si>
    <t>(12) Množství zlikvidovaného / recyklovaného / znovuvyužitého odpadu</t>
  </si>
  <si>
    <t>Workshopy a akce pro veřejnost</t>
  </si>
  <si>
    <t>Účastníci akcí pro širokou veřejnost</t>
  </si>
  <si>
    <t>Monitoring studánek</t>
  </si>
  <si>
    <t>(4) Monitoring biodiverzity – bodové objekty</t>
  </si>
  <si>
    <t>Náklad informačního letáku</t>
  </si>
  <si>
    <t>Kapesní kalendář</t>
  </si>
  <si>
    <t>Náklad kapesního kalendáře</t>
  </si>
  <si>
    <t>Specializovaná databáze studánek</t>
  </si>
  <si>
    <t>Počet využití databáze studánek</t>
  </si>
  <si>
    <t>Mobilní aplikace</t>
  </si>
  <si>
    <t>Počet instalací aplikace</t>
  </si>
  <si>
    <t>Přednášky,  terénní semináře, workshopy, semestrální kurz</t>
  </si>
  <si>
    <t>Počet účastníků přednášek,  terénních seminářů, workshopů a semestrálního kurzu</t>
  </si>
  <si>
    <t xml:space="preserve">Dosah příspěvků na sociálních sítích </t>
  </si>
  <si>
    <t>(11a) Odborné / zpravodajské články</t>
  </si>
  <si>
    <t>Metodika</t>
  </si>
  <si>
    <t>Počet zhlédnutí metodiky v rámci ČSOP</t>
  </si>
  <si>
    <t>Počet zhlédnutí metodiky v rámci ČRDM</t>
  </si>
  <si>
    <t>Příspěvky na sociálních sítích - metodika</t>
  </si>
  <si>
    <t>Dosah příspěvků na sociálních sítích  - metodika</t>
  </si>
  <si>
    <t>Příloha metodiky „Ozelenění fasád“ - statika</t>
  </si>
  <si>
    <t xml:space="preserve">Semináře </t>
  </si>
  <si>
    <t>Účastníci semináře</t>
  </si>
  <si>
    <t>Odborné články v médiích</t>
  </si>
  <si>
    <t>Náklad přílohy metodiky „Ozelenění fasád“ - statika</t>
  </si>
  <si>
    <t>Videokurz Přírodopis bez hranic</t>
  </si>
  <si>
    <t>(10a) Ekologické výukové programy</t>
  </si>
  <si>
    <t>Účastníci výukového programu Přírodopis bez hranic</t>
  </si>
  <si>
    <t>(10b) Dopad ekologických výukových programů</t>
  </si>
  <si>
    <t>Webinář k programu Přírodopis bez hranic</t>
  </si>
  <si>
    <t>Účastníci webináře Přírodopis bez hranic</t>
  </si>
  <si>
    <t>Školení pro lektorky a lektory</t>
  </si>
  <si>
    <t>Účastníků školení pro lektorky a lektory</t>
  </si>
  <si>
    <t>Pobytový program</t>
  </si>
  <si>
    <t>Účastníci pobytového programu</t>
  </si>
  <si>
    <t>Nápadník aktivit EVVO</t>
  </si>
  <si>
    <t>Náklad Nápadníku aktivit EVVO</t>
  </si>
  <si>
    <t>Soutěž Zlatý Opylovatel (3 kola + finále)</t>
  </si>
  <si>
    <t>Počet účastníků všech kol soutěže</t>
  </si>
  <si>
    <t>Zhlédnutí článků na webu</t>
  </si>
  <si>
    <t>Pracovní listy ZLATÝ OPYLOVATEL (ke stažení)</t>
  </si>
  <si>
    <t>Náklad pracovních listů</t>
  </si>
  <si>
    <t>Dobrovolníci zapojení do organizace soutěže</t>
  </si>
  <si>
    <t>Akce v rámci Týdne bez odpadu</t>
  </si>
  <si>
    <t>Dosah akcí v rámci Týdne bez odpadu</t>
  </si>
  <si>
    <t>Konzultační webinář pro pořadatele akcí pořádaných v rámci Týdne bez odpadu</t>
  </si>
  <si>
    <t>Dosah konzultačního webináře pro pořadatele akcí pořádaných v rámci Týdne bez odpadu</t>
  </si>
  <si>
    <t>Manuál pro pořadatele</t>
  </si>
  <si>
    <t>Náklad manuálu</t>
  </si>
  <si>
    <t>Edukační materiály</t>
  </si>
  <si>
    <t>Náklad edukačních materiálů</t>
  </si>
  <si>
    <t>Školení lektorů a lektorek, pedagogů a pedagožek</t>
  </si>
  <si>
    <t>Účastníci školení lektorů a lektorek, pedagogů a pedagožek</t>
  </si>
  <si>
    <t>Výukové programy</t>
  </si>
  <si>
    <t>Účastníci výukových programů</t>
  </si>
  <si>
    <t xml:space="preserve">Nápadník aktivit </t>
  </si>
  <si>
    <t>Náklad nápadníku aktivit</t>
  </si>
  <si>
    <t>Účastníci akcí pro veřejnost</t>
  </si>
  <si>
    <t>Plocha území přímých provedených
péčí o území / prací v terénu</t>
  </si>
  <si>
    <t>Počet přímých provedených péčí o
území / prací v terénu – bodová
opatření</t>
  </si>
  <si>
    <t>Monitoring biodiverzity – plošný
monitoring</t>
  </si>
  <si>
    <t>Dosah akcí pro odbornou / širokou
veřejnost / specifické cílové
skupiny/participativní akce</t>
  </si>
  <si>
    <t>Nově akreditované pozemkové spolky</t>
  </si>
  <si>
    <t>(14) Nově akreditované pozemkové spolky; reakreditované pozemkové spolky</t>
  </si>
  <si>
    <t>Reakreditované pozemkové spolky</t>
  </si>
  <si>
    <t xml:space="preserve">(15) Rozšíření plochy pozemkových spolků </t>
  </si>
  <si>
    <t>Semináře pro programové pracovníky
v EVVO a EP</t>
  </si>
  <si>
    <t>Účastníci seminářů pro programové pracovníky
v EVVO a EP</t>
  </si>
  <si>
    <t>Krajské konference pro pedagogy a poskytovatele EVVO</t>
  </si>
  <si>
    <t>Účastníci krajských konferencí</t>
  </si>
  <si>
    <t>Časopis Bedrník</t>
  </si>
  <si>
    <t>Náklad časopisu Bedrník</t>
  </si>
  <si>
    <t>Informační bulletin Mrkvička</t>
  </si>
  <si>
    <t>Náklad bulletinu Mrkvička</t>
  </si>
  <si>
    <t>Šíření dobré praxe EVVO a EP</t>
  </si>
  <si>
    <t>Účastníci seminářů pro veřejnou správu</t>
  </si>
  <si>
    <t>Setkání a školení auditorů</t>
  </si>
  <si>
    <t>Účastníci školení auditorů</t>
  </si>
  <si>
    <t>Poradenské akce pro poskytovatele EVVO a EP</t>
  </si>
  <si>
    <t>Evaluace programů EV</t>
  </si>
  <si>
    <t>Účast na významné mezinárodní akci</t>
  </si>
  <si>
    <t>00103764</t>
  </si>
  <si>
    <t>V buňce E23 - (Bylo vám vydáno Změnové rozhodnutí?) ponechte předvyplněnou hodnotu NE</t>
  </si>
  <si>
    <r>
      <t xml:space="preserve">Na listu Žádosti o změnu rozpočtu vyplňte ve sloupci K také aktuální verzi rozpočtu </t>
    </r>
    <r>
      <rPr>
        <b/>
        <sz val="11"/>
        <rFont val="Calibri"/>
        <family val="2"/>
        <charset val="238"/>
        <scheme val="minor"/>
      </rPr>
      <t>z posledního změnového rozhodnutí</t>
    </r>
  </si>
  <si>
    <r>
      <t xml:space="preserve">Navýšení procentního podílu dotace </t>
    </r>
    <r>
      <rPr>
        <b/>
        <sz val="11"/>
        <color rgb="FFFF0000"/>
        <rFont val="Calibri"/>
        <family val="2"/>
        <charset val="238"/>
        <scheme val="minor"/>
      </rPr>
      <t>(jedná se vždy o podstatnou změnu)</t>
    </r>
  </si>
  <si>
    <r>
      <t xml:space="preserve">Změny závazných výstupů projektu </t>
    </r>
    <r>
      <rPr>
        <b/>
        <sz val="11"/>
        <color rgb="FFFF0000"/>
        <rFont val="Calibri"/>
        <family val="2"/>
        <charset val="238"/>
        <scheme val="minor"/>
      </rPr>
      <t>(jedná se vždy o podstatnou změnu)</t>
    </r>
  </si>
  <si>
    <r>
      <t xml:space="preserve">Pokračujte na list </t>
    </r>
    <r>
      <rPr>
        <b/>
        <i/>
        <sz val="11"/>
        <color theme="3" tint="0.39997558519241921"/>
        <rFont val="Calibri"/>
        <family val="2"/>
        <charset val="238"/>
        <scheme val="minor"/>
      </rPr>
      <t>Žádost o změnu rozpočtu</t>
    </r>
  </si>
  <si>
    <r>
      <t xml:space="preserve">Žádost o zvýšení procentího podílu dotace je možné vyplnit na listu </t>
    </r>
    <r>
      <rPr>
        <b/>
        <i/>
        <sz val="11"/>
        <color theme="3" tint="0.39997558519241921"/>
        <rFont val="Calibri"/>
        <family val="2"/>
        <charset val="238"/>
        <scheme val="minor"/>
      </rPr>
      <t>Žádost o změnu procenta</t>
    </r>
  </si>
  <si>
    <r>
      <t xml:space="preserve">Žádost o změnu závanýzných indikátorů projektu je možné vyplnit na listu </t>
    </r>
    <r>
      <rPr>
        <b/>
        <i/>
        <sz val="11"/>
        <color theme="3" tint="0.39997558519241921"/>
        <rFont val="Calibri"/>
        <family val="2"/>
        <charset val="238"/>
        <scheme val="minor"/>
      </rPr>
      <t>Žádost o změnu indikátorů</t>
    </r>
  </si>
  <si>
    <r>
      <t xml:space="preserve">Do zelených polí ve sloupci D vyplňte kompletní nový rozpočet </t>
    </r>
    <r>
      <rPr>
        <b/>
        <sz val="11"/>
        <rFont val="Calibri"/>
        <family val="2"/>
        <charset val="238"/>
        <scheme val="minor"/>
      </rPr>
      <t>dotace</t>
    </r>
    <r>
      <rPr>
        <sz val="11"/>
        <rFont val="Calibri"/>
        <family val="2"/>
        <charset val="238"/>
        <scheme val="minor"/>
      </rPr>
      <t xml:space="preserve"> ve smyslu požadovaných změn</t>
    </r>
  </si>
  <si>
    <t>Ve formuláři je možné požádat o změnu (snížení hodnot stávajících závazných výstupů projektu; o navýšení hodnot indikátorů není třeba žádat)</t>
  </si>
  <si>
    <t>Vždy vyplňte kompletní sadu projektových indikátorů (tedy i těch, kde o změnu nežádáte)</t>
  </si>
  <si>
    <t>Žádost o změnu rozpočtu, pokud vám bylo vydáno změnové rozhodnutí:</t>
  </si>
  <si>
    <t>V buňce E23 - (Bylo vám vydáno Změnové rozhodnutí?) zvolte hodnotu ANO</t>
  </si>
  <si>
    <t>Drobný dlouhodobý majetek</t>
  </si>
  <si>
    <t>Režijní náklady  (nájem, telefony, poštovné, úklid, energie)
max. 23% z rozpočtu dotace</t>
  </si>
  <si>
    <t>1-Plocha území přímých provedených péčí o území / prací v terénu - plošná opatření</t>
  </si>
  <si>
    <t>5-Počet vysazených / ošetřených stromů nebo keřů</t>
  </si>
  <si>
    <t>6-Počet odborných / zpravodajských článků</t>
  </si>
  <si>
    <t>7a-Počet akcí pro odbornou / širokou veřejnost / specifické cílové skupiny/participativní akce</t>
  </si>
  <si>
    <t>akcí</t>
  </si>
  <si>
    <t>7b-Dosah akcí pro odbornou / širokou veřejnost / specifické cílové skupiny/participativní akce</t>
  </si>
  <si>
    <t>8a-Počet příspěvků publikovaných na sociálních sítích</t>
  </si>
  <si>
    <t>8b-Dopad příspěvků publikovaných na sociálních sítích</t>
  </si>
  <si>
    <t>Zhlédnutí</t>
  </si>
  <si>
    <t>9-Počet poradenských případů, konzultací</t>
  </si>
  <si>
    <t>10a-Počet ekologických výukových programů</t>
  </si>
  <si>
    <t>10b-Dosah ekologických výukových programů</t>
  </si>
  <si>
    <t>11a-Počet publikačních výstupů</t>
  </si>
  <si>
    <t>11b-Dosah publikačních výstupů</t>
  </si>
  <si>
    <t>dopad</t>
  </si>
  <si>
    <t>13a-Počet zapojených dobrovolníků</t>
  </si>
  <si>
    <t>13b-Objem dobrovolnické práce</t>
  </si>
  <si>
    <t>hod</t>
  </si>
  <si>
    <t>14-Počet nově akreditovaných pozemkových spolků/ reakreditované pozemkové spolky</t>
  </si>
  <si>
    <t>Plocha území přímých provedených péčí o území / prací v terénu - plošná opatření</t>
  </si>
  <si>
    <t>Počet vysazených / ošetřených stromů nebo keřů</t>
  </si>
  <si>
    <t>Počet odborných / zpravodajských článků</t>
  </si>
  <si>
    <t>Počet akcí pro odbornou / širokou veřejnost / specifické cílové skupiny/participativní akce</t>
  </si>
  <si>
    <t>Počet příspěvků publikovaných na sociálních sítích</t>
  </si>
  <si>
    <t>Počet poradenských případů, konzultací</t>
  </si>
  <si>
    <t>Počet ekologických výukových programů</t>
  </si>
  <si>
    <t>Dosah ekologických výukových programů</t>
  </si>
  <si>
    <t>Počet publikačních výstupů</t>
  </si>
  <si>
    <t>Počet nově akreditovaných pozemkových spolků/ reakreditované pozemkové spolky</t>
  </si>
  <si>
    <t>Podíl režijních nákladů změněného rozpočtu do 20 %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</si>
</sst>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Kč&quot;"/>
    <numFmt numFmtId="165" formatCode="#,##0.00\ &quot;Kč&quot;"/>
    <numFmt numFmtId="166" formatCode="0.0%"/>
    <numFmt numFmtId="167" formatCode="0.00000000%"/>
  </numFmts>
  <fonts count="59">
    <font>
      <sz val="10"/>
      <name val="Times New Roman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9C6500"/>
      <name val="Calibri"/>
      <family val="2"/>
      <charset val="238"/>
      <scheme val="minor"/>
    </font>
    <font>
      <sz val="10"/>
      <color rgb="FF000000"/>
      <name val="Verdana"/>
      <family val="2"/>
      <charset val="238"/>
    </font>
    <font>
      <b/>
      <i/>
      <sz val="12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name val="Calibi"/>
      <charset val="238"/>
    </font>
    <font>
      <sz val="11"/>
      <name val="Calibi"/>
      <charset val="238"/>
    </font>
    <font>
      <sz val="10"/>
      <name val="Calibi"/>
      <charset val="238"/>
    </font>
    <font>
      <sz val="12"/>
      <name val="Calibi"/>
      <charset val="238"/>
    </font>
    <font>
      <sz val="9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0"/>
      <color theme="0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1"/>
      <color theme="3" tint="0.39997558519241921"/>
      <name val="Calibri"/>
      <family val="2"/>
      <charset val="238"/>
      <scheme val="minor"/>
    </font>
    <font>
      <sz val="10"/>
      <color theme="1"/>
      <name val="Verdan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" fillId="0" borderId="0" applyFont="0" applyFill="0" applyBorder="0" applyAlignment="0" applyProtection="0"/>
    <xf numFmtId="0" fontId="16" fillId="7" borderId="0" applyNumberFormat="0" applyBorder="0" applyAlignment="0" applyProtection="0"/>
    <xf numFmtId="0" fontId="15" fillId="8" borderId="14" applyNumberFormat="0" applyFont="0" applyAlignment="0" applyProtection="0"/>
  </cellStyleXfs>
  <cellXfs count="2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4" fillId="5" borderId="0" xfId="0" applyNumberFormat="1" applyFont="1" applyFill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4" fillId="0" borderId="1" xfId="0" applyFont="1" applyBorder="1"/>
    <xf numFmtId="0" fontId="3" fillId="0" borderId="1" xfId="0" applyFont="1" applyBorder="1"/>
    <xf numFmtId="0" fontId="11" fillId="0" borderId="0" xfId="0" applyFont="1" applyAlignment="1">
      <alignment horizontal="left" vertical="top"/>
    </xf>
    <xf numFmtId="49" fontId="12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/>
    </xf>
    <xf numFmtId="0" fontId="13" fillId="5" borderId="0" xfId="0" applyFont="1" applyFill="1" applyAlignment="1">
      <alignment horizontal="left" vertical="top"/>
    </xf>
    <xf numFmtId="0" fontId="1" fillId="0" borderId="0" xfId="0" applyFont="1" applyAlignment="1">
      <alignment vertical="top"/>
    </xf>
    <xf numFmtId="49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 applyProtection="1">
      <alignment vertical="top"/>
      <protection hidden="1"/>
    </xf>
    <xf numFmtId="165" fontId="3" fillId="0" borderId="0" xfId="0" applyNumberFormat="1" applyFont="1" applyAlignment="1">
      <alignment vertical="top"/>
    </xf>
    <xf numFmtId="164" fontId="9" fillId="0" borderId="0" xfId="0" applyNumberFormat="1" applyFont="1" applyAlignment="1">
      <alignment vertical="top" wrapText="1"/>
    </xf>
    <xf numFmtId="0" fontId="8" fillId="0" borderId="0" xfId="2" applyFont="1" applyAlignment="1">
      <alignment wrapText="1"/>
    </xf>
    <xf numFmtId="165" fontId="3" fillId="0" borderId="0" xfId="0" applyNumberFormat="1" applyFont="1" applyAlignment="1" applyProtection="1">
      <alignment vertical="top"/>
      <protection locked="0"/>
    </xf>
    <xf numFmtId="165" fontId="4" fillId="0" borderId="0" xfId="0" applyNumberFormat="1" applyFont="1" applyAlignment="1" applyProtection="1">
      <alignment vertical="top"/>
      <protection hidden="1"/>
    </xf>
    <xf numFmtId="1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right" vertical="center"/>
    </xf>
    <xf numFmtId="0" fontId="7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left"/>
      <protection hidden="1"/>
    </xf>
    <xf numFmtId="0" fontId="4" fillId="5" borderId="0" xfId="0" applyFont="1" applyFill="1" applyAlignment="1" applyProtection="1">
      <alignment horizontal="left" vertical="top" wrapText="1"/>
      <protection hidden="1"/>
    </xf>
    <xf numFmtId="49" fontId="4" fillId="5" borderId="0" xfId="0" applyNumberFormat="1" applyFont="1" applyFill="1" applyAlignment="1" applyProtection="1">
      <alignment horizontal="left" vertical="top" wrapText="1"/>
      <protection hidden="1"/>
    </xf>
    <xf numFmtId="0" fontId="13" fillId="5" borderId="0" xfId="0" applyFont="1" applyFill="1" applyAlignment="1" applyProtection="1">
      <alignment horizontal="left" vertical="top"/>
      <protection hidden="1"/>
    </xf>
    <xf numFmtId="49" fontId="10" fillId="0" borderId="0" xfId="0" applyNumberFormat="1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top" wrapText="1"/>
      <protection hidden="1"/>
    </xf>
    <xf numFmtId="1" fontId="4" fillId="0" borderId="0" xfId="0" applyNumberFormat="1" applyFont="1" applyAlignment="1" applyProtection="1">
      <alignment vertical="top"/>
      <protection hidden="1"/>
    </xf>
    <xf numFmtId="165" fontId="4" fillId="0" borderId="0" xfId="0" applyNumberFormat="1" applyFont="1" applyAlignment="1" applyProtection="1">
      <alignment horizontal="right" vertical="top"/>
      <protection hidden="1"/>
    </xf>
    <xf numFmtId="0" fontId="9" fillId="6" borderId="0" xfId="0" applyFont="1" applyFill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hidden="1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20" fillId="10" borderId="16" xfId="0" applyFont="1" applyFill="1" applyBorder="1" applyAlignment="1">
      <alignment horizontal="center" vertical="center"/>
    </xf>
    <xf numFmtId="0" fontId="18" fillId="10" borderId="17" xfId="0" applyFont="1" applyFill="1" applyBorder="1" applyAlignment="1">
      <alignment horizontal="center" vertical="center" wrapText="1"/>
    </xf>
    <xf numFmtId="0" fontId="19" fillId="9" borderId="15" xfId="0" applyFont="1" applyFill="1" applyBorder="1" applyAlignment="1">
      <alignment horizontal="left" vertical="top" wrapText="1"/>
    </xf>
    <xf numFmtId="14" fontId="3" fillId="6" borderId="0" xfId="0" applyNumberFormat="1" applyFont="1" applyFill="1" applyAlignment="1" applyProtection="1">
      <alignment vertical="top"/>
      <protection locked="0"/>
    </xf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horizontal="center" vertical="top"/>
    </xf>
    <xf numFmtId="49" fontId="24" fillId="6" borderId="2" xfId="0" applyNumberFormat="1" applyFont="1" applyFill="1" applyBorder="1" applyAlignment="1" applyProtection="1">
      <alignment horizontal="right" vertical="top"/>
      <protection locked="0"/>
    </xf>
    <xf numFmtId="0" fontId="25" fillId="0" borderId="0" xfId="0" quotePrefix="1" applyFont="1" applyAlignment="1">
      <alignment horizontal="left" vertical="top"/>
    </xf>
    <xf numFmtId="0" fontId="21" fillId="0" borderId="0" xfId="0" applyFont="1" applyAlignment="1">
      <alignment horizontal="left" vertical="top"/>
    </xf>
    <xf numFmtId="49" fontId="25" fillId="6" borderId="1" xfId="0" applyNumberFormat="1" applyFont="1" applyFill="1" applyBorder="1" applyAlignment="1" applyProtection="1">
      <alignment horizontal="left" vertical="top"/>
      <protection locked="0"/>
    </xf>
    <xf numFmtId="0" fontId="27" fillId="5" borderId="0" xfId="0" applyFont="1" applyFill="1" applyAlignment="1">
      <alignment horizontal="left" vertical="top"/>
    </xf>
    <xf numFmtId="0" fontId="25" fillId="5" borderId="0" xfId="0" applyFont="1" applyFill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9" fillId="0" borderId="0" xfId="1" applyFont="1" applyAlignment="1" applyProtection="1">
      <alignment vertical="top"/>
    </xf>
    <xf numFmtId="0" fontId="24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31" fillId="0" borderId="0" xfId="0" applyFont="1" applyAlignment="1">
      <alignment vertical="top"/>
    </xf>
    <xf numFmtId="164" fontId="25" fillId="3" borderId="1" xfId="0" applyNumberFormat="1" applyFont="1" applyFill="1" applyBorder="1" applyAlignment="1">
      <alignment vertical="top" wrapText="1"/>
    </xf>
    <xf numFmtId="165" fontId="25" fillId="0" borderId="1" xfId="0" applyNumberFormat="1" applyFont="1" applyBorder="1" applyProtection="1">
      <protection hidden="1"/>
    </xf>
    <xf numFmtId="165" fontId="25" fillId="6" borderId="1" xfId="0" applyNumberFormat="1" applyFont="1" applyFill="1" applyBorder="1" applyProtection="1">
      <protection locked="0"/>
    </xf>
    <xf numFmtId="164" fontId="25" fillId="0" borderId="1" xfId="0" applyNumberFormat="1" applyFont="1" applyBorder="1" applyAlignment="1">
      <alignment vertical="top" wrapText="1"/>
    </xf>
    <xf numFmtId="164" fontId="24" fillId="0" borderId="1" xfId="0" quotePrefix="1" applyNumberFormat="1" applyFont="1" applyBorder="1" applyAlignment="1">
      <alignment vertical="top" wrapText="1"/>
    </xf>
    <xf numFmtId="0" fontId="25" fillId="3" borderId="1" xfId="0" applyFont="1" applyFill="1" applyBorder="1" applyAlignment="1">
      <alignment wrapText="1"/>
    </xf>
    <xf numFmtId="0" fontId="34" fillId="2" borderId="1" xfId="2" applyFont="1" applyFill="1" applyBorder="1" applyAlignment="1">
      <alignment wrapText="1"/>
    </xf>
    <xf numFmtId="49" fontId="24" fillId="2" borderId="1" xfId="0" applyNumberFormat="1" applyFont="1" applyFill="1" applyBorder="1" applyAlignment="1" applyProtection="1">
      <alignment horizontal="center" vertical="center"/>
      <protection hidden="1"/>
    </xf>
    <xf numFmtId="165" fontId="25" fillId="0" borderId="1" xfId="0" applyNumberFormat="1" applyFont="1" applyBorder="1" applyProtection="1">
      <protection locked="0"/>
    </xf>
    <xf numFmtId="164" fontId="35" fillId="4" borderId="1" xfId="0" applyNumberFormat="1" applyFont="1" applyFill="1" applyBorder="1" applyAlignment="1">
      <alignment vertical="top" wrapText="1"/>
    </xf>
    <xf numFmtId="165" fontId="36" fillId="4" borderId="1" xfId="0" applyNumberFormat="1" applyFont="1" applyFill="1" applyBorder="1" applyAlignment="1" applyProtection="1">
      <alignment vertical="top"/>
      <protection hidden="1"/>
    </xf>
    <xf numFmtId="49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wrapText="1"/>
    </xf>
    <xf numFmtId="0" fontId="25" fillId="0" borderId="0" xfId="0" applyFont="1"/>
    <xf numFmtId="0" fontId="24" fillId="0" borderId="0" xfId="0" applyFont="1" applyAlignment="1">
      <alignment wrapText="1"/>
    </xf>
    <xf numFmtId="49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/>
    </xf>
    <xf numFmtId="14" fontId="25" fillId="6" borderId="0" xfId="0" applyNumberFormat="1" applyFont="1" applyFill="1" applyAlignment="1" applyProtection="1">
      <alignment vertical="top"/>
      <protection locked="0"/>
    </xf>
    <xf numFmtId="0" fontId="3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5" fillId="5" borderId="0" xfId="0" applyFont="1" applyFill="1" applyAlignment="1">
      <alignment horizontal="left" vertical="top" wrapText="1"/>
    </xf>
    <xf numFmtId="0" fontId="24" fillId="0" borderId="0" xfId="0" applyFont="1" applyAlignment="1">
      <alignment horizontal="left"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4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0" fontId="38" fillId="0" borderId="0" xfId="0" applyFont="1" applyAlignment="1">
      <alignment vertical="top"/>
    </xf>
    <xf numFmtId="0" fontId="26" fillId="0" borderId="0" xfId="0" applyFont="1" applyAlignment="1">
      <alignment horizontal="left" vertical="top"/>
    </xf>
    <xf numFmtId="0" fontId="28" fillId="5" borderId="2" xfId="0" applyFont="1" applyFill="1" applyBorder="1" applyAlignment="1">
      <alignment vertical="top"/>
    </xf>
    <xf numFmtId="0" fontId="28" fillId="5" borderId="0" xfId="0" applyFont="1" applyFill="1" applyAlignment="1">
      <alignment horizontal="center" vertical="top"/>
    </xf>
    <xf numFmtId="0" fontId="28" fillId="5" borderId="0" xfId="0" applyFont="1" applyFill="1" applyAlignment="1">
      <alignment horizontal="center" vertical="top" wrapText="1"/>
    </xf>
    <xf numFmtId="0" fontId="28" fillId="5" borderId="1" xfId="0" applyFont="1" applyFill="1" applyBorder="1" applyAlignment="1">
      <alignment horizontal="left" vertical="top"/>
    </xf>
    <xf numFmtId="0" fontId="28" fillId="5" borderId="0" xfId="0" applyFont="1" applyFill="1" applyAlignment="1">
      <alignment horizontal="left" vertical="top"/>
    </xf>
    <xf numFmtId="165" fontId="28" fillId="5" borderId="1" xfId="0" applyNumberFormat="1" applyFont="1" applyFill="1" applyBorder="1" applyAlignment="1">
      <alignment vertical="top"/>
    </xf>
    <xf numFmtId="10" fontId="28" fillId="5" borderId="1" xfId="0" applyNumberFormat="1" applyFont="1" applyFill="1" applyBorder="1" applyAlignment="1">
      <alignment vertical="top"/>
    </xf>
    <xf numFmtId="165" fontId="28" fillId="6" borderId="1" xfId="0" applyNumberFormat="1" applyFont="1" applyFill="1" applyBorder="1" applyAlignment="1" applyProtection="1">
      <alignment vertical="top"/>
      <protection locked="0"/>
    </xf>
    <xf numFmtId="0" fontId="39" fillId="0" borderId="0" xfId="0" applyFont="1" applyAlignment="1">
      <alignment vertical="top"/>
    </xf>
    <xf numFmtId="0" fontId="37" fillId="0" borderId="0" xfId="0" applyFont="1" applyAlignment="1">
      <alignment vertical="top"/>
    </xf>
    <xf numFmtId="165" fontId="25" fillId="0" borderId="0" xfId="0" applyNumberFormat="1" applyFont="1" applyAlignment="1" applyProtection="1">
      <alignment horizontal="right" vertical="top"/>
      <protection hidden="1"/>
    </xf>
    <xf numFmtId="0" fontId="41" fillId="0" borderId="0" xfId="0" applyFont="1" applyProtection="1">
      <protection hidden="1"/>
    </xf>
    <xf numFmtId="0" fontId="42" fillId="0" borderId="0" xfId="0" applyFont="1" applyProtection="1"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>
      <alignment vertical="top"/>
    </xf>
    <xf numFmtId="49" fontId="25" fillId="0" borderId="1" xfId="0" applyNumberFormat="1" applyFont="1" applyBorder="1" applyAlignment="1">
      <alignment horizontal="center" vertical="center"/>
    </xf>
    <xf numFmtId="0" fontId="28" fillId="6" borderId="1" xfId="0" applyFont="1" applyFill="1" applyBorder="1" applyAlignment="1" applyProtection="1">
      <alignment vertical="top"/>
      <protection locked="0"/>
    </xf>
    <xf numFmtId="49" fontId="25" fillId="0" borderId="1" xfId="0" applyNumberFormat="1" applyFont="1" applyBorder="1" applyAlignment="1">
      <alignment horizontal="center" vertical="center" wrapText="1"/>
    </xf>
    <xf numFmtId="0" fontId="25" fillId="5" borderId="0" xfId="0" applyFont="1" applyFill="1" applyAlignment="1" applyProtection="1">
      <alignment horizontal="left" vertical="top" wrapText="1"/>
      <protection hidden="1"/>
    </xf>
    <xf numFmtId="0" fontId="36" fillId="0" borderId="0" xfId="0" applyFont="1" applyAlignment="1" applyProtection="1">
      <alignment horizontal="left"/>
      <protection hidden="1"/>
    </xf>
    <xf numFmtId="0" fontId="24" fillId="0" borderId="0" xfId="0" applyFont="1" applyProtection="1">
      <protection hidden="1"/>
    </xf>
    <xf numFmtId="167" fontId="28" fillId="0" borderId="0" xfId="0" applyNumberFormat="1" applyFont="1" applyAlignment="1">
      <alignment vertical="top"/>
    </xf>
    <xf numFmtId="49" fontId="25" fillId="3" borderId="1" xfId="0" applyNumberFormat="1" applyFont="1" applyFill="1" applyBorder="1" applyAlignment="1">
      <alignment horizontal="center" vertical="center"/>
    </xf>
    <xf numFmtId="0" fontId="24" fillId="0" borderId="0" xfId="0" applyFont="1" applyProtection="1">
      <protection locked="0"/>
    </xf>
    <xf numFmtId="0" fontId="32" fillId="0" borderId="1" xfId="0" applyFont="1" applyBorder="1" applyAlignment="1">
      <alignment horizontal="center" vertical="center" wrapText="1"/>
    </xf>
    <xf numFmtId="49" fontId="24" fillId="6" borderId="2" xfId="0" applyNumberFormat="1" applyFont="1" applyFill="1" applyBorder="1" applyAlignment="1" applyProtection="1">
      <alignment horizontal="center" vertical="top"/>
      <protection locked="0"/>
    </xf>
    <xf numFmtId="0" fontId="25" fillId="6" borderId="0" xfId="0" applyFont="1" applyFill="1" applyAlignment="1" applyProtection="1">
      <alignment wrapText="1"/>
      <protection locked="0"/>
    </xf>
    <xf numFmtId="49" fontId="46" fillId="0" borderId="0" xfId="0" applyNumberFormat="1" applyFont="1" applyAlignment="1">
      <alignment horizontal="left" vertical="center"/>
    </xf>
    <xf numFmtId="0" fontId="32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top" wrapText="1"/>
    </xf>
    <xf numFmtId="165" fontId="24" fillId="2" borderId="1" xfId="0" applyNumberFormat="1" applyFont="1" applyFill="1" applyBorder="1" applyAlignment="1" applyProtection="1">
      <alignment vertical="top"/>
      <protection hidden="1"/>
    </xf>
    <xf numFmtId="165" fontId="24" fillId="2" borderId="1" xfId="0" quotePrefix="1" applyNumberFormat="1" applyFont="1" applyFill="1" applyBorder="1" applyAlignment="1">
      <alignment vertical="top"/>
    </xf>
    <xf numFmtId="165" fontId="25" fillId="6" borderId="1" xfId="0" applyNumberFormat="1" applyFont="1" applyFill="1" applyBorder="1" applyAlignment="1" applyProtection="1">
      <alignment vertical="top" wrapText="1"/>
      <protection locked="0"/>
    </xf>
    <xf numFmtId="165" fontId="25" fillId="0" borderId="1" xfId="0" applyNumberFormat="1" applyFont="1" applyBorder="1" applyAlignment="1" applyProtection="1">
      <alignment vertical="top" wrapText="1"/>
      <protection locked="0"/>
    </xf>
    <xf numFmtId="165" fontId="24" fillId="2" borderId="1" xfId="0" quotePrefix="1" applyNumberFormat="1" applyFont="1" applyFill="1" applyBorder="1" applyAlignment="1" applyProtection="1">
      <alignment vertical="top" wrapText="1"/>
      <protection hidden="1"/>
    </xf>
    <xf numFmtId="164" fontId="24" fillId="2" borderId="1" xfId="0" applyNumberFormat="1" applyFont="1" applyFill="1" applyBorder="1" applyAlignment="1">
      <alignment vertical="top" wrapText="1"/>
    </xf>
    <xf numFmtId="165" fontId="24" fillId="2" borderId="1" xfId="0" quotePrefix="1" applyNumberFormat="1" applyFont="1" applyFill="1" applyBorder="1" applyAlignment="1">
      <alignment vertical="top" wrapText="1"/>
    </xf>
    <xf numFmtId="49" fontId="25" fillId="5" borderId="1" xfId="0" applyNumberFormat="1" applyFont="1" applyFill="1" applyBorder="1" applyAlignment="1">
      <alignment horizontal="center" vertical="center"/>
    </xf>
    <xf numFmtId="164" fontId="22" fillId="5" borderId="1" xfId="0" applyNumberFormat="1" applyFont="1" applyFill="1" applyBorder="1" applyAlignment="1">
      <alignment vertical="top" wrapText="1"/>
    </xf>
    <xf numFmtId="165" fontId="24" fillId="5" borderId="1" xfId="0" applyNumberFormat="1" applyFont="1" applyFill="1" applyBorder="1" applyAlignment="1" applyProtection="1">
      <alignment vertical="top"/>
      <protection hidden="1"/>
    </xf>
    <xf numFmtId="165" fontId="24" fillId="5" borderId="1" xfId="0" quotePrefix="1" applyNumberFormat="1" applyFont="1" applyFill="1" applyBorder="1" applyAlignment="1">
      <alignment vertical="top" wrapText="1"/>
    </xf>
    <xf numFmtId="165" fontId="24" fillId="0" borderId="1" xfId="0" applyNumberFormat="1" applyFont="1" applyBorder="1" applyAlignment="1" applyProtection="1">
      <alignment vertical="top"/>
      <protection hidden="1"/>
    </xf>
    <xf numFmtId="165" fontId="24" fillId="6" borderId="1" xfId="0" applyNumberFormat="1" applyFont="1" applyFill="1" applyBorder="1" applyAlignment="1" applyProtection="1">
      <alignment vertical="top"/>
      <protection locked="0"/>
    </xf>
    <xf numFmtId="0" fontId="28" fillId="3" borderId="1" xfId="0" applyFont="1" applyFill="1" applyBorder="1" applyAlignment="1">
      <alignment wrapText="1"/>
    </xf>
    <xf numFmtId="166" fontId="25" fillId="3" borderId="1" xfId="3" applyNumberFormat="1" applyFont="1" applyFill="1" applyBorder="1"/>
    <xf numFmtId="165" fontId="25" fillId="0" borderId="1" xfId="0" applyNumberFormat="1" applyFont="1" applyBorder="1" applyAlignment="1">
      <alignment vertical="top" wrapText="1"/>
    </xf>
    <xf numFmtId="49" fontId="25" fillId="4" borderId="1" xfId="0" applyNumberFormat="1" applyFont="1" applyFill="1" applyBorder="1" applyAlignment="1">
      <alignment horizontal="center" vertical="center"/>
    </xf>
    <xf numFmtId="165" fontId="36" fillId="4" borderId="1" xfId="0" quotePrefix="1" applyNumberFormat="1" applyFont="1" applyFill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8" fillId="6" borderId="1" xfId="0" applyFont="1" applyFill="1" applyBorder="1" applyAlignment="1" applyProtection="1">
      <alignment vertical="top" wrapText="1"/>
      <protection locked="0"/>
    </xf>
    <xf numFmtId="0" fontId="47" fillId="0" borderId="0" xfId="0" applyFont="1" applyAlignment="1" applyProtection="1">
      <alignment horizontal="center" vertical="top"/>
      <protection locked="0"/>
    </xf>
    <xf numFmtId="0" fontId="49" fillId="0" borderId="0" xfId="0" applyFont="1" applyAlignment="1">
      <alignment vertical="top"/>
    </xf>
    <xf numFmtId="0" fontId="0" fillId="0" borderId="0" xfId="0" applyAlignment="1" applyProtection="1">
      <alignment vertical="top"/>
      <protection locked="0"/>
    </xf>
    <xf numFmtId="0" fontId="44" fillId="6" borderId="1" xfId="0" applyFont="1" applyFill="1" applyBorder="1" applyAlignment="1" applyProtection="1">
      <alignment vertical="top" wrapText="1"/>
      <protection locked="0"/>
    </xf>
    <xf numFmtId="2" fontId="44" fillId="6" borderId="1" xfId="0" applyNumberFormat="1" applyFont="1" applyFill="1" applyBorder="1" applyAlignment="1" applyProtection="1">
      <alignment horizontal="left" vertical="top" wrapText="1"/>
      <protection locked="0"/>
    </xf>
    <xf numFmtId="0" fontId="10" fillId="6" borderId="1" xfId="0" applyFont="1" applyFill="1" applyBorder="1" applyAlignment="1" applyProtection="1">
      <alignment vertical="top" wrapText="1"/>
      <protection locked="0"/>
    </xf>
    <xf numFmtId="0" fontId="25" fillId="3" borderId="1" xfId="0" applyFont="1" applyFill="1" applyBorder="1" applyAlignment="1">
      <alignment vertical="center" wrapText="1"/>
    </xf>
    <xf numFmtId="165" fontId="25" fillId="0" borderId="1" xfId="0" applyNumberFormat="1" applyFont="1" applyBorder="1" applyAlignment="1" applyProtection="1">
      <alignment vertical="center"/>
      <protection hidden="1"/>
    </xf>
    <xf numFmtId="165" fontId="25" fillId="6" borderId="1" xfId="0" applyNumberFormat="1" applyFont="1" applyFill="1" applyBorder="1" applyAlignment="1" applyProtection="1">
      <alignment vertical="center"/>
      <protection locked="0"/>
    </xf>
    <xf numFmtId="165" fontId="25" fillId="6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25" fillId="3" borderId="1" xfId="0" applyNumberFormat="1" applyFont="1" applyFill="1" applyBorder="1" applyAlignment="1">
      <alignment vertical="center" wrapText="1"/>
    </xf>
    <xf numFmtId="0" fontId="38" fillId="0" borderId="0" xfId="0" applyFont="1" applyAlignment="1" applyProtection="1">
      <alignment vertical="top" wrapText="1"/>
      <protection hidden="1"/>
    </xf>
    <xf numFmtId="164" fontId="25" fillId="11" borderId="1" xfId="0" applyNumberFormat="1" applyFont="1" applyFill="1" applyBorder="1" applyAlignment="1">
      <alignment vertical="top" wrapText="1"/>
    </xf>
    <xf numFmtId="164" fontId="25" fillId="11" borderId="1" xfId="0" quotePrefix="1" applyNumberFormat="1" applyFont="1" applyFill="1" applyBorder="1" applyAlignment="1">
      <alignment vertical="top" wrapText="1"/>
    </xf>
    <xf numFmtId="0" fontId="28" fillId="11" borderId="1" xfId="0" applyFont="1" applyFill="1" applyBorder="1" applyAlignment="1">
      <alignment wrapText="1"/>
    </xf>
    <xf numFmtId="0" fontId="28" fillId="11" borderId="1" xfId="0" applyFont="1" applyFill="1" applyBorder="1" applyAlignment="1" applyProtection="1">
      <alignment wrapText="1"/>
      <protection locked="0"/>
    </xf>
    <xf numFmtId="0" fontId="50" fillId="6" borderId="1" xfId="0" applyFont="1" applyFill="1" applyBorder="1" applyAlignment="1" applyProtection="1">
      <alignment vertical="top" wrapText="1"/>
      <protection locked="0"/>
    </xf>
    <xf numFmtId="0" fontId="25" fillId="3" borderId="1" xfId="0" applyFont="1" applyFill="1" applyBorder="1" applyAlignment="1">
      <alignment horizontal="left" vertical="top" wrapText="1"/>
    </xf>
    <xf numFmtId="0" fontId="51" fillId="0" borderId="0" xfId="0" applyFont="1" applyAlignment="1">
      <alignment vertical="top"/>
    </xf>
    <xf numFmtId="0" fontId="28" fillId="0" borderId="1" xfId="0" applyFont="1" applyBorder="1" applyAlignment="1" applyProtection="1">
      <alignment vertical="top" wrapText="1"/>
      <protection hidden="1"/>
    </xf>
    <xf numFmtId="0" fontId="32" fillId="3" borderId="1" xfId="0" applyFont="1" applyFill="1" applyBorder="1" applyAlignment="1" applyProtection="1">
      <alignment horizontal="center" vertical="center" wrapText="1"/>
      <protection hidden="1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>
      <alignment horizontal="center" vertical="center"/>
    </xf>
    <xf numFmtId="0" fontId="45" fillId="5" borderId="0" xfId="0" applyFont="1" applyFill="1"/>
    <xf numFmtId="0" fontId="45" fillId="5" borderId="0" xfId="5" applyFont="1" applyFill="1" applyBorder="1" applyAlignment="1"/>
    <xf numFmtId="0" fontId="45" fillId="5" borderId="0" xfId="0" applyFont="1" applyFill="1" applyAlignment="1" applyProtection="1">
      <alignment horizontal="center"/>
      <protection hidden="1"/>
    </xf>
    <xf numFmtId="0" fontId="54" fillId="5" borderId="0" xfId="0" applyFont="1" applyFill="1"/>
    <xf numFmtId="0" fontId="53" fillId="5" borderId="0" xfId="4" applyFont="1" applyFill="1" applyBorder="1" applyAlignment="1"/>
    <xf numFmtId="16" fontId="54" fillId="5" borderId="0" xfId="0" quotePrefix="1" applyNumberFormat="1" applyFont="1" applyFill="1"/>
    <xf numFmtId="16" fontId="53" fillId="5" borderId="0" xfId="4" quotePrefix="1" applyNumberFormat="1" applyFont="1" applyFill="1" applyBorder="1" applyAlignment="1"/>
    <xf numFmtId="0" fontId="45" fillId="5" borderId="0" xfId="0" quotePrefix="1" applyFont="1" applyFill="1"/>
    <xf numFmtId="0" fontId="55" fillId="5" borderId="0" xfId="0" applyFont="1" applyFill="1" applyAlignment="1">
      <alignment horizontal="left" vertical="top"/>
    </xf>
    <xf numFmtId="0" fontId="45" fillId="5" borderId="0" xfId="0" applyFont="1" applyFill="1" applyAlignment="1">
      <alignment vertical="top"/>
    </xf>
    <xf numFmtId="0" fontId="55" fillId="5" borderId="0" xfId="0" applyFont="1" applyFill="1" applyAlignment="1">
      <alignment horizontal="left" vertical="center"/>
    </xf>
    <xf numFmtId="0" fontId="55" fillId="5" borderId="0" xfId="0" applyFont="1" applyFill="1" applyAlignment="1">
      <alignment horizontal="right" vertical="top"/>
    </xf>
    <xf numFmtId="164" fontId="55" fillId="5" borderId="0" xfId="0" applyNumberFormat="1" applyFont="1" applyFill="1" applyAlignment="1">
      <alignment horizontal="left" vertical="top"/>
    </xf>
    <xf numFmtId="0" fontId="55" fillId="5" borderId="0" xfId="0" applyFont="1" applyFill="1" applyAlignment="1" applyProtection="1">
      <alignment horizontal="left" vertical="top"/>
      <protection hidden="1"/>
    </xf>
    <xf numFmtId="0" fontId="54" fillId="5" borderId="0" xfId="0" quotePrefix="1" applyFont="1" applyFill="1"/>
    <xf numFmtId="0" fontId="56" fillId="0" borderId="0" xfId="0" applyFont="1" applyAlignment="1">
      <alignment vertical="top"/>
    </xf>
    <xf numFmtId="0" fontId="58" fillId="0" borderId="18" xfId="0" applyFont="1" applyBorder="1" applyAlignment="1">
      <alignment vertical="center"/>
    </xf>
    <xf numFmtId="0" fontId="30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5" fillId="0" borderId="0" xfId="0" applyFont="1" applyAlignment="1" applyProtection="1">
      <alignment wrapText="1"/>
      <protection hidden="1"/>
    </xf>
    <xf numFmtId="0" fontId="25" fillId="0" borderId="1" xfId="0" applyFont="1" applyBorder="1" applyProtection="1">
      <protection hidden="1"/>
    </xf>
    <xf numFmtId="0" fontId="25" fillId="0" borderId="3" xfId="0" applyFont="1" applyBorder="1" applyProtection="1">
      <protection hidden="1"/>
    </xf>
    <xf numFmtId="0" fontId="25" fillId="0" borderId="5" xfId="0" applyFont="1" applyBorder="1" applyProtection="1">
      <protection hidden="1"/>
    </xf>
    <xf numFmtId="0" fontId="25" fillId="0" borderId="1" xfId="0" applyFont="1" applyBorder="1" applyAlignment="1" applyProtection="1">
      <alignment vertical="top"/>
      <protection hidden="1"/>
    </xf>
    <xf numFmtId="0" fontId="25" fillId="0" borderId="0" xfId="0" applyFont="1" applyAlignment="1" applyProtection="1">
      <alignment vertical="top" wrapText="1"/>
      <protection hidden="1"/>
    </xf>
    <xf numFmtId="0" fontId="37" fillId="0" borderId="0" xfId="0" applyFont="1" applyAlignment="1" applyProtection="1">
      <alignment horizontal="left"/>
      <protection hidden="1"/>
    </xf>
    <xf numFmtId="49" fontId="25" fillId="0" borderId="1" xfId="0" applyNumberFormat="1" applyFont="1" applyBorder="1" applyAlignment="1" applyProtection="1">
      <alignment horizontal="center" vertical="center" wrapText="1"/>
      <protection hidden="1"/>
    </xf>
    <xf numFmtId="0" fontId="44" fillId="0" borderId="1" xfId="0" applyFont="1" applyBorder="1" applyAlignment="1" applyProtection="1">
      <alignment vertical="top" wrapText="1"/>
      <protection hidden="1"/>
    </xf>
    <xf numFmtId="0" fontId="28" fillId="0" borderId="1" xfId="0" applyFont="1" applyBorder="1" applyAlignment="1" applyProtection="1">
      <alignment vertical="top" wrapText="1"/>
      <protection locked="0" hidden="1"/>
    </xf>
    <xf numFmtId="0" fontId="10" fillId="0" borderId="1" xfId="0" quotePrefix="1" applyFont="1" applyBorder="1" applyProtection="1">
      <protection hidden="1"/>
    </xf>
    <xf numFmtId="0" fontId="44" fillId="0" borderId="1" xfId="0" applyFont="1" applyBorder="1" applyAlignment="1" applyProtection="1">
      <alignment horizontal="left" vertical="top"/>
      <protection hidden="1"/>
    </xf>
    <xf numFmtId="0" fontId="25" fillId="0" borderId="1" xfId="0" applyFont="1" applyBorder="1" applyAlignment="1">
      <alignment horizontal="left" vertical="top"/>
    </xf>
    <xf numFmtId="0" fontId="28" fillId="5" borderId="3" xfId="0" applyFont="1" applyFill="1" applyBorder="1" applyAlignment="1" applyProtection="1">
      <alignment horizontal="left" vertical="top" wrapText="1"/>
      <protection hidden="1"/>
    </xf>
    <xf numFmtId="0" fontId="28" fillId="5" borderId="4" xfId="0" applyFont="1" applyFill="1" applyBorder="1" applyAlignment="1" applyProtection="1">
      <alignment horizontal="left" vertical="top" wrapText="1"/>
      <protection hidden="1"/>
    </xf>
    <xf numFmtId="0" fontId="28" fillId="5" borderId="5" xfId="0" applyFont="1" applyFill="1" applyBorder="1" applyAlignment="1" applyProtection="1">
      <alignment horizontal="left" vertical="top" wrapText="1"/>
      <protection hidden="1"/>
    </xf>
    <xf numFmtId="0" fontId="28" fillId="5" borderId="3" xfId="0" applyFont="1" applyFill="1" applyBorder="1" applyAlignment="1">
      <alignment vertical="top" wrapText="1"/>
    </xf>
    <xf numFmtId="0" fontId="28" fillId="5" borderId="4" xfId="0" applyFont="1" applyFill="1" applyBorder="1" applyAlignment="1">
      <alignment vertical="top" wrapText="1"/>
    </xf>
    <xf numFmtId="0" fontId="28" fillId="5" borderId="5" xfId="0" applyFont="1" applyFill="1" applyBorder="1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/>
    </xf>
    <xf numFmtId="0" fontId="25" fillId="5" borderId="0" xfId="0" applyFont="1" applyFill="1" applyAlignment="1">
      <alignment horizontal="left" vertical="top" wrapText="1"/>
    </xf>
    <xf numFmtId="0" fontId="25" fillId="0" borderId="1" xfId="0" applyFont="1" applyBorder="1" applyAlignment="1" applyProtection="1">
      <alignment horizontal="left" vertical="top" wrapText="1"/>
      <protection hidden="1"/>
    </xf>
    <xf numFmtId="0" fontId="28" fillId="5" borderId="1" xfId="0" applyFont="1" applyFill="1" applyBorder="1" applyAlignment="1">
      <alignment horizontal="left" vertical="top" wrapText="1"/>
    </xf>
    <xf numFmtId="0" fontId="28" fillId="6" borderId="6" xfId="0" applyFont="1" applyFill="1" applyBorder="1" applyAlignment="1" applyProtection="1">
      <alignment horizontal="left" vertical="top" wrapText="1"/>
      <protection locked="0"/>
    </xf>
    <xf numFmtId="0" fontId="28" fillId="6" borderId="7" xfId="0" applyFont="1" applyFill="1" applyBorder="1" applyAlignment="1" applyProtection="1">
      <alignment horizontal="left" vertical="top" wrapText="1"/>
      <protection locked="0"/>
    </xf>
    <xf numFmtId="0" fontId="28" fillId="6" borderId="8" xfId="0" applyFont="1" applyFill="1" applyBorder="1" applyAlignment="1" applyProtection="1">
      <alignment horizontal="left" vertical="top" wrapText="1"/>
      <protection locked="0"/>
    </xf>
    <xf numFmtId="0" fontId="28" fillId="6" borderId="9" xfId="0" applyFont="1" applyFill="1" applyBorder="1" applyAlignment="1" applyProtection="1">
      <alignment horizontal="left" vertical="top" wrapText="1"/>
      <protection locked="0"/>
    </xf>
    <xf numFmtId="0" fontId="28" fillId="6" borderId="0" xfId="0" applyFont="1" applyFill="1" applyAlignment="1" applyProtection="1">
      <alignment horizontal="left" vertical="top" wrapText="1"/>
      <protection locked="0"/>
    </xf>
    <xf numFmtId="0" fontId="28" fillId="6" borderId="10" xfId="0" applyFont="1" applyFill="1" applyBorder="1" applyAlignment="1" applyProtection="1">
      <alignment horizontal="left" vertical="top" wrapText="1"/>
      <protection locked="0"/>
    </xf>
    <xf numFmtId="0" fontId="28" fillId="6" borderId="11" xfId="0" applyFont="1" applyFill="1" applyBorder="1" applyAlignment="1" applyProtection="1">
      <alignment horizontal="left" vertical="top" wrapText="1"/>
      <protection locked="0"/>
    </xf>
    <xf numFmtId="0" fontId="28" fillId="6" borderId="12" xfId="0" applyFont="1" applyFill="1" applyBorder="1" applyAlignment="1" applyProtection="1">
      <alignment horizontal="left" vertical="top" wrapText="1"/>
      <protection locked="0"/>
    </xf>
    <xf numFmtId="0" fontId="28" fillId="6" borderId="13" xfId="0" applyFont="1" applyFill="1" applyBorder="1" applyAlignment="1" applyProtection="1">
      <alignment horizontal="left" vertical="top" wrapText="1"/>
      <protection locked="0"/>
    </xf>
    <xf numFmtId="0" fontId="28" fillId="5" borderId="0" xfId="0" applyFont="1" applyFill="1" applyAlignment="1">
      <alignment horizontal="left" vertical="top"/>
    </xf>
    <xf numFmtId="0" fontId="40" fillId="0" borderId="0" xfId="0" applyFont="1" applyAlignment="1" applyProtection="1">
      <alignment horizontal="center"/>
      <protection hidden="1"/>
    </xf>
    <xf numFmtId="0" fontId="41" fillId="0" borderId="0" xfId="0" applyFont="1" applyAlignment="1" applyProtection="1">
      <alignment horizontal="left" wrapText="1"/>
      <protection hidden="1"/>
    </xf>
    <xf numFmtId="0" fontId="41" fillId="0" borderId="0" xfId="0" applyFont="1" applyAlignment="1" applyProtection="1">
      <alignment horizontal="left" vertical="top" wrapText="1"/>
      <protection hidden="1"/>
    </xf>
    <xf numFmtId="0" fontId="43" fillId="0" borderId="0" xfId="0" applyFont="1" applyAlignment="1" applyProtection="1">
      <alignment vertical="top" wrapText="1"/>
      <protection hidden="1"/>
    </xf>
    <xf numFmtId="0" fontId="25" fillId="5" borderId="0" xfId="0" applyFont="1" applyFill="1" applyAlignment="1" applyProtection="1">
      <alignment horizontal="left" vertical="top" wrapText="1"/>
      <protection hidden="1"/>
    </xf>
    <xf numFmtId="0" fontId="14" fillId="0" borderId="0" xfId="0" applyFont="1" applyAlignment="1" applyProtection="1">
      <alignment horizontal="left"/>
      <protection hidden="1"/>
    </xf>
    <xf numFmtId="164" fontId="25" fillId="6" borderId="1" xfId="0" applyNumberFormat="1" applyFont="1" applyFill="1" applyBorder="1" applyAlignment="1" applyProtection="1">
      <alignment horizontal="left" vertical="top" wrapText="1"/>
      <protection locked="0"/>
    </xf>
    <xf numFmtId="0" fontId="13" fillId="5" borderId="0" xfId="0" applyFont="1" applyFill="1" applyAlignment="1" applyProtection="1">
      <alignment horizontal="left" vertical="top" wrapText="1"/>
      <protection hidden="1"/>
    </xf>
    <xf numFmtId="0" fontId="11" fillId="0" borderId="0" xfId="0" applyFont="1" applyAlignment="1" applyProtection="1">
      <alignment horizontal="left" wrapText="1"/>
      <protection hidden="1"/>
    </xf>
    <xf numFmtId="0" fontId="38" fillId="0" borderId="0" xfId="0" applyFont="1" applyAlignment="1" applyProtection="1">
      <alignment horizontal="left" vertical="top" wrapText="1"/>
      <protection hidden="1"/>
    </xf>
    <xf numFmtId="0" fontId="17" fillId="0" borderId="0" xfId="0" applyFont="1" applyAlignment="1">
      <alignment vertical="center"/>
    </xf>
  </cellXfs>
  <cellStyles count="6">
    <cellStyle name="Hypertextový odkaz" xfId="1" builtinId="8"/>
    <cellStyle name="Neutrální" xfId="4" builtinId="28"/>
    <cellStyle name="Normální" xfId="0" builtinId="0"/>
    <cellStyle name="normální_Sešit1" xfId="2" xr:uid="{00000000-0005-0000-0000-000003000000}"/>
    <cellStyle name="Poznámka" xfId="5" builtinId="10"/>
    <cellStyle name="Procenta" xfId="3" builtinId="5"/>
  </cellStyles>
  <dxfs count="45">
    <dxf>
      <font>
        <color theme="0"/>
      </font>
    </dxf>
    <dxf>
      <fill>
        <patternFill>
          <bgColor theme="0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ont>
        <strike val="0"/>
        <condense val="0"/>
        <extend val="0"/>
      </font>
      <fill>
        <patternFill>
          <bgColor indexed="1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strike val="0"/>
        <color theme="0"/>
      </font>
      <fill>
        <patternFill>
          <bgColor theme="0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strike val="0"/>
        <condense val="0"/>
        <extend val="0"/>
      </font>
      <fill>
        <patternFill>
          <bgColor indexed="10"/>
        </patternFill>
      </fill>
    </dxf>
    <dxf>
      <font>
        <strike val="0"/>
        <condense val="0"/>
        <extend val="0"/>
      </font>
      <fill>
        <patternFill>
          <bgColor indexed="1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left" vertical="top" textRotation="0" wrapText="1" indent="0" justifyLastLine="0" shrinkToFit="0" readingOrder="0"/>
      <protection locked="1" hidden="1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lka2" displayName="Tabulka2" ref="A10:D11" insertRow="1" totalsRowShown="0" headerRowDxfId="44" dataDxfId="43">
  <autoFilter ref="A10:D11" xr:uid="{00000000-0009-0000-0100-000002000000}"/>
  <tableColumns count="4">
    <tableColumn id="1" xr3:uid="{00000000-0010-0000-0000-000001000000}" name="Sloupec1" dataDxfId="42"/>
    <tableColumn id="2" xr3:uid="{00000000-0010-0000-0000-000002000000}" name="Sloupec2" dataDxfId="41"/>
    <tableColumn id="3" xr3:uid="{00000000-0010-0000-0000-000003000000}" name="Sloupec3" dataDxfId="40">
      <calculatedColumnFormula>VLOOKUP(CONCATENATE("MIZPP",'Projekt a žadatel'!$C$4,'Projekt a žadatel'!$C$7),DB_rozpočtů!A$4:GA$25,98+(A11-1)*3,FALSE)</calculatedColumnFormula>
    </tableColumn>
    <tableColumn id="4" xr3:uid="{00000000-0010-0000-0000-000004000000}" name="Sloupec4" dataDxfId="39">
      <calculatedColumnFormula>VLOOKUP(CONCATENATE("MIZPP",'Projekt a žadatel'!$C$4,'Projekt a žadatel'!$C$7),DB_rozpočtů!A$4:GA$25,99+(A11-1)*3,FALSE)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75"/>
  <sheetViews>
    <sheetView showGridLines="0" tabSelected="1" workbookViewId="0">
      <selection activeCell="D23" sqref="D23"/>
    </sheetView>
  </sheetViews>
  <sheetFormatPr defaultColWidth="9.33203125" defaultRowHeight="12.75"/>
  <cols>
    <col min="1" max="1" width="9.33203125" style="16"/>
    <col min="2" max="2" width="41.33203125" style="16" customWidth="1"/>
    <col min="3" max="3" width="39" style="16" customWidth="1"/>
    <col min="4" max="4" width="21.1640625" style="16" customWidth="1"/>
    <col min="5" max="5" width="28.83203125" style="16" customWidth="1"/>
    <col min="6" max="16384" width="9.33203125" style="16"/>
  </cols>
  <sheetData>
    <row r="1" spans="1:8" ht="50.25" customHeight="1">
      <c r="A1" s="70" t="s">
        <v>395</v>
      </c>
      <c r="H1" s="154" t="s">
        <v>396</v>
      </c>
    </row>
    <row r="2" spans="1:8" ht="50.25" customHeight="1">
      <c r="A2" s="173" t="s">
        <v>356</v>
      </c>
      <c r="G2" s="155"/>
    </row>
    <row r="3" spans="1:8" ht="20.25" customHeight="1">
      <c r="A3" s="114" t="s">
        <v>199</v>
      </c>
      <c r="C3" s="125" t="s">
        <v>200</v>
      </c>
    </row>
    <row r="4" spans="1:8" ht="23.25">
      <c r="A4" s="57" t="s">
        <v>157</v>
      </c>
      <c r="B4" s="58"/>
      <c r="C4" s="59"/>
      <c r="D4" s="60" t="str">
        <f>IF(C3&lt;&gt;"A",CONCATENATE("/32/25",C3),"/32/26")</f>
        <v>/32/26</v>
      </c>
      <c r="E4" s="61" t="str">
        <f>IF(AND(LEN(C4)&gt;0,LEN(C4)&lt;&gt;3),"První část čísla rozhodnutí je třímístné číslo s případnými předsazenými nulami","")</f>
        <v/>
      </c>
    </row>
    <row r="5" spans="1:8" ht="40.5" customHeight="1">
      <c r="A5" s="57" t="s">
        <v>3</v>
      </c>
      <c r="B5" s="58"/>
      <c r="C5" s="210" t="str">
        <f>IF(ISNA(VLOOKUP(CONCATENATE("MIZPP",C4,C7,C3),DB_rozpočtů!A3:DE25,25,FALSE)),"",VLOOKUP(CONCATENATE("MIZPP",C4,C7,C3),DB_rozpočtů!A3:DE25,25,FALSE))</f>
        <v/>
      </c>
      <c r="D5" s="211"/>
      <c r="E5" s="212"/>
      <c r="F5" s="98" t="str">
        <f>IF(C5="","Hodnoty nebyly načteny - zadejte číslo projektu, podprogram a vaše IČ","")</f>
        <v>Hodnoty nebyly načteny - zadejte číslo projektu, podprogram a vaše IČ</v>
      </c>
    </row>
    <row r="6" spans="1:8" ht="48.75" customHeight="1">
      <c r="A6" s="57" t="s">
        <v>31</v>
      </c>
      <c r="B6" s="58"/>
      <c r="C6" s="213" t="str">
        <f>IF(ISNA(VLOOKUP(CONCATENATE("MIZPP",C4,C7,C3),DB_rozpočtů!A3:DE25,13,FALSE)),"",CONCATENATE(VLOOKUP(CONCATENATE("MIZPP",C4,C7,C3),DB_rozpočtů!A3:DE25,4,FALSE),", ",VLOOKUP(CONCATENATE("MIZPP",C4,C7,C3),DB_rozpočtů!A3:DE25,13,FALSE)))</f>
        <v/>
      </c>
      <c r="D6" s="214"/>
      <c r="E6" s="215"/>
      <c r="F6" s="98" t="str">
        <f>IF(C6="","Hodnoty nebyly načteny - zadejte číslo projektu, podprogram a vaše IČ","")</f>
        <v>Hodnoty nebyly načteny - zadejte číslo projektu, podprogram a vaše IČ</v>
      </c>
    </row>
    <row r="7" spans="1:8" ht="26.25" customHeight="1">
      <c r="A7" s="216" t="s">
        <v>182</v>
      </c>
      <c r="B7" s="217"/>
      <c r="C7" s="62"/>
      <c r="D7" s="63" t="s">
        <v>88</v>
      </c>
      <c r="E7" s="64"/>
    </row>
    <row r="8" spans="1:8">
      <c r="A8" s="65"/>
      <c r="B8" s="65"/>
      <c r="C8" s="65"/>
      <c r="D8" s="65"/>
      <c r="E8" s="65"/>
    </row>
    <row r="9" spans="1:8">
      <c r="A9" s="65"/>
      <c r="B9" s="65"/>
      <c r="C9" s="65"/>
      <c r="D9" s="65"/>
      <c r="E9" s="65"/>
    </row>
    <row r="10" spans="1:8">
      <c r="A10" s="65"/>
      <c r="B10" s="65"/>
      <c r="C10" s="65"/>
      <c r="D10" s="65"/>
      <c r="E10" s="65"/>
    </row>
    <row r="11" spans="1:8" ht="15.75">
      <c r="A11" s="57" t="s">
        <v>44</v>
      </c>
      <c r="B11" s="65"/>
      <c r="C11" s="65"/>
      <c r="D11" s="65"/>
      <c r="E11" s="65"/>
    </row>
    <row r="12" spans="1:8">
      <c r="A12" s="65"/>
      <c r="B12" s="65"/>
      <c r="C12" s="65"/>
      <c r="D12" s="65"/>
      <c r="E12" s="65"/>
    </row>
    <row r="13" spans="1:8" ht="15">
      <c r="A13" s="66" t="s">
        <v>46</v>
      </c>
      <c r="B13" s="65"/>
      <c r="C13" s="65"/>
      <c r="D13" s="65"/>
      <c r="E13" s="65"/>
    </row>
    <row r="14" spans="1:8">
      <c r="A14" s="65"/>
      <c r="B14" s="65"/>
      <c r="C14" s="65"/>
      <c r="D14" s="65"/>
      <c r="E14" s="65"/>
    </row>
    <row r="15" spans="1:8" ht="15">
      <c r="A15" s="65"/>
      <c r="B15" s="67" t="s">
        <v>45</v>
      </c>
      <c r="C15" s="65"/>
      <c r="D15" s="65"/>
      <c r="E15" s="65"/>
    </row>
    <row r="16" spans="1:8" ht="15">
      <c r="A16" s="65"/>
      <c r="B16" s="67" t="s">
        <v>33</v>
      </c>
      <c r="C16" s="65"/>
      <c r="D16" s="65"/>
      <c r="E16" s="65"/>
    </row>
    <row r="17" spans="1:6" ht="15">
      <c r="A17" s="65"/>
      <c r="B17" s="67" t="s">
        <v>89</v>
      </c>
      <c r="C17" s="65"/>
      <c r="D17" s="65"/>
      <c r="E17" s="65"/>
    </row>
    <row r="18" spans="1:6">
      <c r="A18" s="65"/>
      <c r="B18" s="65"/>
      <c r="C18" s="65"/>
      <c r="D18" s="65"/>
      <c r="E18" s="65"/>
    </row>
    <row r="19" spans="1:6" ht="15">
      <c r="A19" s="68" t="s">
        <v>47</v>
      </c>
      <c r="B19" s="65"/>
      <c r="C19" s="65"/>
      <c r="D19" s="65"/>
      <c r="E19" s="65"/>
    </row>
    <row r="20" spans="1:6" ht="15.75">
      <c r="A20" s="57" t="s">
        <v>356</v>
      </c>
      <c r="B20" s="65"/>
      <c r="C20" s="65"/>
      <c r="D20" s="65"/>
      <c r="E20" s="65"/>
    </row>
    <row r="21" spans="1:6" ht="15">
      <c r="A21" s="66" t="s">
        <v>146</v>
      </c>
      <c r="B21" s="65"/>
      <c r="C21" s="65"/>
      <c r="D21" s="65"/>
      <c r="E21" s="65"/>
    </row>
    <row r="22" spans="1:6">
      <c r="A22" s="65"/>
      <c r="B22" s="65"/>
      <c r="C22" s="65"/>
      <c r="D22" s="65"/>
      <c r="E22" s="109" t="str">
        <f>IF(D23="ANO","Bylo vám vydáno Změnové rozhodnutí?","")</f>
        <v>Bylo vám vydáno Změnové rozhodnutí?</v>
      </c>
    </row>
    <row r="23" spans="1:6" ht="15">
      <c r="A23" s="65"/>
      <c r="B23" s="209" t="s">
        <v>48</v>
      </c>
      <c r="C23" s="209"/>
      <c r="D23" s="116" t="s">
        <v>394</v>
      </c>
      <c r="E23" s="153" t="s">
        <v>394</v>
      </c>
      <c r="F23" s="98" t="str">
        <f>IF(D23="ANO","Pokud vám bylo vydáno změnové rozhodnutí, vyberte ANO, v opačném případě vyberte NE","")</f>
        <v>Pokud vám bylo vydáno změnové rozhodnutí, vyberte ANO, v opačném případě vyberte NE</v>
      </c>
    </row>
    <row r="24" spans="1:6" ht="15">
      <c r="A24" s="65"/>
      <c r="B24" s="209" t="s">
        <v>79</v>
      </c>
      <c r="C24" s="209"/>
      <c r="D24" s="116" t="s">
        <v>394</v>
      </c>
      <c r="E24" s="65"/>
    </row>
    <row r="25" spans="1:6" ht="15">
      <c r="A25" s="65"/>
      <c r="B25" s="209" t="s">
        <v>90</v>
      </c>
      <c r="C25" s="209"/>
      <c r="D25" s="116" t="s">
        <v>394</v>
      </c>
      <c r="E25" s="65"/>
    </row>
    <row r="26" spans="1:6">
      <c r="A26" s="65"/>
      <c r="B26" s="65"/>
      <c r="C26" s="65"/>
      <c r="D26" s="65"/>
      <c r="E26" s="65"/>
    </row>
    <row r="27" spans="1:6" ht="15">
      <c r="A27" s="66" t="s">
        <v>152</v>
      </c>
      <c r="B27" s="65"/>
      <c r="C27" s="65"/>
      <c r="D27" s="65"/>
      <c r="E27" s="65"/>
    </row>
    <row r="28" spans="1:6" ht="15">
      <c r="A28" s="66"/>
      <c r="B28" s="65"/>
      <c r="C28" s="65"/>
      <c r="D28" s="65"/>
      <c r="E28" s="65"/>
    </row>
    <row r="29" spans="1:6" ht="15">
      <c r="A29" s="69" t="s">
        <v>184</v>
      </c>
      <c r="B29" s="65"/>
      <c r="C29" s="65"/>
      <c r="D29" s="65"/>
      <c r="E29" s="65"/>
    </row>
    <row r="30" spans="1:6">
      <c r="A30" s="65"/>
      <c r="B30" s="65"/>
      <c r="C30" s="65"/>
      <c r="D30" s="65"/>
      <c r="E30" s="65"/>
    </row>
    <row r="31" spans="1:6" ht="15.75">
      <c r="A31" s="57" t="s">
        <v>49</v>
      </c>
      <c r="B31" s="65"/>
      <c r="C31" s="65"/>
      <c r="D31" s="65"/>
      <c r="E31" s="65"/>
    </row>
    <row r="32" spans="1:6">
      <c r="A32" s="65"/>
      <c r="B32" s="65"/>
      <c r="C32" s="65"/>
      <c r="D32" s="65"/>
      <c r="E32" s="65"/>
    </row>
    <row r="33" spans="1:5" ht="15">
      <c r="A33" s="68" t="s">
        <v>254</v>
      </c>
      <c r="B33" s="66"/>
      <c r="C33" s="65"/>
      <c r="D33" s="65"/>
      <c r="E33" s="65"/>
    </row>
    <row r="34" spans="1:5" ht="15">
      <c r="A34" s="68"/>
      <c r="B34" s="66" t="s">
        <v>706</v>
      </c>
      <c r="C34" s="65"/>
      <c r="D34" s="65"/>
      <c r="E34" s="65"/>
    </row>
    <row r="35" spans="1:5" ht="15">
      <c r="B35" s="193" t="s">
        <v>710</v>
      </c>
      <c r="C35" s="65"/>
      <c r="D35" s="65"/>
      <c r="E35" s="65"/>
    </row>
    <row r="36" spans="1:5" ht="15">
      <c r="A36" s="66"/>
      <c r="B36" s="66" t="s">
        <v>255</v>
      </c>
      <c r="C36" s="65"/>
      <c r="D36" s="65"/>
      <c r="E36" s="65"/>
    </row>
    <row r="37" spans="1:5" ht="15">
      <c r="A37" s="66"/>
      <c r="B37" s="66" t="s">
        <v>256</v>
      </c>
      <c r="C37" s="65"/>
      <c r="D37" s="65"/>
      <c r="E37" s="65"/>
    </row>
    <row r="38" spans="1:5" ht="15">
      <c r="A38" s="66"/>
      <c r="B38" s="66" t="s">
        <v>181</v>
      </c>
      <c r="C38" s="65"/>
      <c r="D38" s="65"/>
      <c r="E38" s="65"/>
    </row>
    <row r="39" spans="1:5" ht="15">
      <c r="A39" s="66"/>
      <c r="B39" s="66" t="s">
        <v>393</v>
      </c>
      <c r="C39" s="65"/>
      <c r="D39" s="65"/>
      <c r="E39" s="65"/>
    </row>
    <row r="40" spans="1:5" ht="15">
      <c r="A40" s="66"/>
      <c r="B40" s="68" t="s">
        <v>126</v>
      </c>
    </row>
    <row r="42" spans="1:5" ht="15">
      <c r="A42" s="68" t="s">
        <v>716</v>
      </c>
    </row>
    <row r="43" spans="1:5" ht="15">
      <c r="B43" s="66" t="s">
        <v>717</v>
      </c>
    </row>
    <row r="44" spans="1:5" ht="15">
      <c r="B44" s="193" t="s">
        <v>710</v>
      </c>
    </row>
    <row r="45" spans="1:5" ht="15">
      <c r="B45" s="66" t="s">
        <v>707</v>
      </c>
    </row>
    <row r="46" spans="1:5" ht="15">
      <c r="B46" s="66" t="s">
        <v>713</v>
      </c>
    </row>
    <row r="47" spans="1:5" ht="15">
      <c r="B47" s="66" t="s">
        <v>256</v>
      </c>
    </row>
    <row r="48" spans="1:5" ht="15">
      <c r="B48" s="66" t="s">
        <v>181</v>
      </c>
    </row>
    <row r="49" spans="1:5" ht="15">
      <c r="B49" s="66" t="s">
        <v>393</v>
      </c>
    </row>
    <row r="50" spans="1:5" ht="15">
      <c r="B50" s="68" t="s">
        <v>126</v>
      </c>
    </row>
    <row r="51" spans="1:5">
      <c r="C51" s="65"/>
      <c r="D51" s="65"/>
      <c r="E51" s="65"/>
    </row>
    <row r="52" spans="1:5" ht="15">
      <c r="A52" s="68" t="s">
        <v>708</v>
      </c>
      <c r="B52" s="66"/>
      <c r="C52" s="65"/>
      <c r="D52" s="65"/>
      <c r="E52" s="65"/>
    </row>
    <row r="53" spans="1:5" ht="15">
      <c r="B53" s="193" t="s">
        <v>711</v>
      </c>
    </row>
    <row r="54" spans="1:5" ht="15">
      <c r="A54" s="66"/>
      <c r="B54" s="66" t="s">
        <v>50</v>
      </c>
      <c r="C54" s="65"/>
      <c r="D54" s="65"/>
      <c r="E54" s="65"/>
    </row>
    <row r="55" spans="1:5" ht="15">
      <c r="A55" s="66"/>
      <c r="B55" s="68" t="s">
        <v>183</v>
      </c>
      <c r="C55" s="65"/>
      <c r="D55" s="65"/>
      <c r="E55" s="65"/>
    </row>
    <row r="56" spans="1:5" ht="15">
      <c r="A56" s="66"/>
      <c r="B56" s="66" t="s">
        <v>153</v>
      </c>
      <c r="C56" s="65"/>
      <c r="D56" s="65"/>
      <c r="E56" s="65"/>
    </row>
    <row r="57" spans="1:5">
      <c r="A57" s="65"/>
      <c r="C57" s="65"/>
      <c r="D57" s="65"/>
      <c r="E57" s="65"/>
    </row>
    <row r="58" spans="1:5">
      <c r="A58" s="65"/>
      <c r="B58" s="65"/>
      <c r="C58" s="65"/>
      <c r="D58" s="65"/>
      <c r="E58" s="65"/>
    </row>
    <row r="59" spans="1:5" ht="15">
      <c r="A59" s="68" t="s">
        <v>709</v>
      </c>
      <c r="B59" s="65"/>
      <c r="C59" s="65"/>
      <c r="D59" s="65"/>
      <c r="E59" s="65"/>
    </row>
    <row r="60" spans="1:5" ht="15">
      <c r="B60" s="193" t="s">
        <v>712</v>
      </c>
    </row>
    <row r="61" spans="1:5" ht="15">
      <c r="A61" s="65"/>
      <c r="B61" s="66" t="s">
        <v>714</v>
      </c>
      <c r="C61" s="65"/>
      <c r="D61" s="65"/>
      <c r="E61" s="65"/>
    </row>
    <row r="62" spans="1:5" ht="15">
      <c r="A62" s="65"/>
      <c r="B62" s="66" t="s">
        <v>124</v>
      </c>
      <c r="C62" s="65"/>
      <c r="D62" s="65"/>
      <c r="E62" s="65"/>
    </row>
    <row r="63" spans="1:5" ht="15">
      <c r="A63" s="65"/>
      <c r="B63" s="66" t="s">
        <v>355</v>
      </c>
      <c r="C63" s="65"/>
      <c r="D63" s="65"/>
      <c r="E63" s="65"/>
    </row>
    <row r="64" spans="1:5" ht="15">
      <c r="A64" s="65"/>
      <c r="B64" s="66" t="s">
        <v>125</v>
      </c>
      <c r="C64" s="65"/>
      <c r="D64" s="65"/>
      <c r="E64" s="65"/>
    </row>
    <row r="65" spans="1:5" ht="15">
      <c r="A65" s="65"/>
      <c r="B65" s="68" t="s">
        <v>715</v>
      </c>
      <c r="C65" s="65"/>
      <c r="D65" s="65"/>
      <c r="E65" s="65"/>
    </row>
    <row r="66" spans="1:5" ht="15">
      <c r="A66" s="65"/>
      <c r="B66" s="66"/>
      <c r="C66" s="65"/>
      <c r="D66" s="65"/>
      <c r="E66" s="65"/>
    </row>
    <row r="67" spans="1:5" ht="15">
      <c r="A67" s="69" t="s">
        <v>397</v>
      </c>
      <c r="B67" s="65"/>
      <c r="C67" s="65"/>
      <c r="D67" s="65"/>
      <c r="E67" s="65"/>
    </row>
    <row r="68" spans="1:5">
      <c r="A68" s="65"/>
      <c r="B68" s="65"/>
      <c r="C68" s="65"/>
      <c r="D68" s="65"/>
      <c r="E68" s="65"/>
    </row>
    <row r="69" spans="1:5">
      <c r="A69" s="65"/>
      <c r="B69" s="65"/>
      <c r="C69" s="65"/>
      <c r="D69" s="65"/>
      <c r="E69" s="65"/>
    </row>
    <row r="70" spans="1:5">
      <c r="A70" s="65"/>
      <c r="B70" s="65"/>
      <c r="C70" s="65"/>
      <c r="D70" s="65"/>
      <c r="E70" s="65"/>
    </row>
    <row r="71" spans="1:5">
      <c r="A71" s="65"/>
      <c r="B71" s="65"/>
      <c r="C71" s="65"/>
      <c r="D71" s="65"/>
      <c r="E71" s="65"/>
    </row>
    <row r="72" spans="1:5">
      <c r="A72" s="65"/>
      <c r="B72" s="65"/>
      <c r="C72" s="65"/>
      <c r="D72" s="65"/>
      <c r="E72" s="65"/>
    </row>
    <row r="73" spans="1:5">
      <c r="A73" s="65"/>
      <c r="B73" s="65"/>
      <c r="C73" s="65"/>
      <c r="D73" s="65"/>
      <c r="E73" s="65"/>
    </row>
    <row r="74" spans="1:5">
      <c r="A74" s="65"/>
      <c r="B74" s="65"/>
      <c r="C74" s="65"/>
      <c r="D74" s="65"/>
      <c r="E74" s="65"/>
    </row>
    <row r="75" spans="1:5">
      <c r="A75" s="65"/>
      <c r="B75" s="65"/>
      <c r="C75" s="65"/>
      <c r="D75" s="65"/>
      <c r="E75" s="65"/>
    </row>
  </sheetData>
  <sheetProtection algorithmName="SHA-512" hashValue="HhofyG+526/7hjbTDJiCyloJbwVd7SspDtYxVskcTa2McH1HTInaSmzyVzyKiCzFdaWZanB8uGaVZpQsN6FhxQ==" saltValue="CgsDreystVzy8yf9kZGcgg==" spinCount="100000" sheet="1" selectLockedCells="1"/>
  <mergeCells count="6">
    <mergeCell ref="B25:C25"/>
    <mergeCell ref="C5:E5"/>
    <mergeCell ref="C6:E6"/>
    <mergeCell ref="B23:C23"/>
    <mergeCell ref="B24:C24"/>
    <mergeCell ref="A7:B7"/>
  </mergeCells>
  <conditionalFormatting sqref="E23">
    <cfRule type="expression" dxfId="38" priority="1">
      <formula>$D$23="ANO"</formula>
    </cfRule>
  </conditionalFormatting>
  <dataValidations count="2">
    <dataValidation type="list" allowBlank="1" showInputMessage="1" showErrorMessage="1" sqref="D23:D25 E23" xr:uid="{00000000-0002-0000-0000-000000000000}">
      <formula1>"ANO,NE"</formula1>
    </dataValidation>
    <dataValidation type="list" allowBlank="1" showInputMessage="1" showErrorMessage="1" sqref="C3" xr:uid="{00000000-0002-0000-0000-000001000000}">
      <formula1>"A,B,C"</formula1>
    </dataValidation>
  </dataValidations>
  <hyperlinks>
    <hyperlink ref="B15" location="'Žádost o změnu rozpočtu'!A1" display="Žádost o změnu rozpočtu" xr:uid="{00000000-0004-0000-0000-000000000000}"/>
    <hyperlink ref="B16" location="'Žádost o změnu procenta'!A1" display="Žádost o změnu procentního podílu dotace" xr:uid="{00000000-0004-0000-0000-000001000000}"/>
    <hyperlink ref="B17" location="'Žádost o změnu indikátorů'!A1" display="Žádost o změnu závazných indikátorů projektu" xr:uid="{00000000-0004-0000-0000-000002000000}"/>
  </hyperlinks>
  <pageMargins left="0.7" right="0.7" top="0.78740157499999996" bottom="0.78740157499999996" header="0.3" footer="0.3"/>
  <pageSetup paperSize="9"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A1:K85"/>
  <sheetViews>
    <sheetView showGridLines="0" topLeftCell="A53" zoomScale="85" zoomScaleNormal="85" workbookViewId="0">
      <selection activeCell="C73" sqref="C73"/>
    </sheetView>
  </sheetViews>
  <sheetFormatPr defaultColWidth="9.33203125" defaultRowHeight="15"/>
  <cols>
    <col min="1" max="1" width="8.6640625" style="5" customWidth="1"/>
    <col min="2" max="2" width="52.6640625" style="3" customWidth="1"/>
    <col min="3" max="3" width="26.1640625" style="1" customWidth="1"/>
    <col min="4" max="4" width="21.1640625" style="1" customWidth="1"/>
    <col min="5" max="5" width="43.5" style="10" customWidth="1"/>
    <col min="6" max="6" width="23" style="1" hidden="1" customWidth="1"/>
    <col min="7" max="10" width="9.33203125" style="1" hidden="1" customWidth="1"/>
    <col min="11" max="11" width="32.1640625" style="1" customWidth="1"/>
    <col min="12" max="16384" width="9.33203125" style="1"/>
  </cols>
  <sheetData>
    <row r="1" spans="1:11" ht="17.25" customHeight="1">
      <c r="A1" s="89" t="str">
        <f>IF(F83=0,"Oznámení nepodstatné změny rozpočtu","Žádost o provedení podstatné změny rozpočtu")</f>
        <v>Oznámení nepodstatné změny rozpočtu</v>
      </c>
      <c r="B1" s="4"/>
      <c r="D1" s="2"/>
      <c r="E1" s="9"/>
    </row>
    <row r="2" spans="1:11" ht="23.25">
      <c r="A2" s="90" t="s">
        <v>30</v>
      </c>
      <c r="B2" s="91"/>
      <c r="C2" s="92" t="str">
        <f>CONCATENATE('Projekt a žadatel'!C4,'Projekt a žadatel'!D4)</f>
        <v>/32/26</v>
      </c>
      <c r="D2" s="92"/>
      <c r="E2" s="92"/>
    </row>
    <row r="3" spans="1:11" ht="23.25">
      <c r="A3" s="90" t="s">
        <v>257</v>
      </c>
      <c r="B3" s="91"/>
      <c r="C3" s="92" t="str">
        <f>+'Projekt a žadatel'!E23</f>
        <v>ANO</v>
      </c>
      <c r="D3" s="92"/>
      <c r="E3" s="92"/>
    </row>
    <row r="4" spans="1:11" ht="32.25" customHeight="1">
      <c r="A4" s="90" t="s">
        <v>3</v>
      </c>
      <c r="B4" s="91"/>
      <c r="C4" s="219" t="str">
        <f>+'Projekt a žadatel'!C5:E5</f>
        <v/>
      </c>
      <c r="D4" s="219"/>
      <c r="E4" s="219"/>
    </row>
    <row r="5" spans="1:11" ht="28.5" customHeight="1">
      <c r="A5" s="90" t="s">
        <v>31</v>
      </c>
      <c r="B5" s="91"/>
      <c r="C5" s="219" t="str">
        <f>+'Projekt a žadatel'!C6:E6</f>
        <v/>
      </c>
      <c r="D5" s="219"/>
      <c r="E5" s="219"/>
    </row>
    <row r="6" spans="1:11" ht="15.75" customHeight="1">
      <c r="A6" s="90" t="s">
        <v>32</v>
      </c>
      <c r="B6" s="91"/>
      <c r="C6" s="92" t="str">
        <f>CONCATENATE(+'Projekt a žadatel'!C7)</f>
        <v/>
      </c>
      <c r="D6" s="92"/>
      <c r="E6" s="92"/>
    </row>
    <row r="7" spans="1:11" ht="17.25" customHeight="1">
      <c r="A7" s="21" t="str">
        <f>IF('Projekt a žadatel'!D23="NE","Na úvodním listu je uvedeno, že o změnu rozpočtu nežádáte (resp. změnu neoznamujete). Tento list proto není třeba vyplňovat","")</f>
        <v/>
      </c>
      <c r="B7" s="4"/>
      <c r="C7" s="11"/>
      <c r="D7" s="12"/>
      <c r="E7" s="12"/>
    </row>
    <row r="8" spans="1:11" ht="22.5">
      <c r="A8" s="203" t="str">
        <f>IF(F83&gt;0,"Žádáme o provedení podstatné změny rozpočtu dotace projektu","Oznamujeme nepodsatnou změnu rozpočtu dotace projektu")</f>
        <v>Oznamujeme nepodsatnou změnu rozpočtu dotace projektu</v>
      </c>
      <c r="B8" s="4"/>
      <c r="C8" s="39" t="str">
        <f>IF('Projekt a žadatel'!$C$5:$E$5="","Formulář nelze vyplnit - nebyl načten rozpočet! Zadejte správné číslo projektu a IČ na listu Projekt a žadatel.","")</f>
        <v>Formulář nelze vyplnit - nebyl načten rozpočet! Zadejte správné číslo projektu a IČ na listu Projekt a žadatel.</v>
      </c>
      <c r="D8" s="22"/>
      <c r="E8" s="12"/>
    </row>
    <row r="9" spans="1:11" ht="11.25" hidden="1" customHeight="1">
      <c r="A9" s="8"/>
      <c r="B9" s="4"/>
      <c r="C9" s="11"/>
      <c r="D9" s="12"/>
      <c r="E9" s="12"/>
    </row>
    <row r="10" spans="1:11" ht="9.75" customHeight="1">
      <c r="A10" s="7"/>
      <c r="B10" s="218"/>
      <c r="C10" s="218"/>
      <c r="D10" s="218"/>
      <c r="E10" s="218"/>
    </row>
    <row r="11" spans="1:11" s="6" customFormat="1" ht="83.25" customHeight="1">
      <c r="A11" s="128" t="s">
        <v>6</v>
      </c>
      <c r="B11" s="128" t="s">
        <v>0</v>
      </c>
      <c r="C11" s="175" t="str">
        <f>IF(C3="NE","Původní rozpočet dotace (z vydaného Rozhodnutí)","Rozpočet dotace z původního rozhodnutí")</f>
        <v>Rozpočet dotace z původního rozhodnutí</v>
      </c>
      <c r="D11" s="128" t="s">
        <v>392</v>
      </c>
      <c r="E11" s="129" t="s">
        <v>253</v>
      </c>
      <c r="F11" s="130" t="str">
        <f>+'Projekt a žadatel'!D23</f>
        <v>ANO</v>
      </c>
      <c r="G11" s="130"/>
      <c r="H11" s="130"/>
      <c r="I11" s="130"/>
      <c r="J11" s="130"/>
      <c r="K11" s="128" t="str">
        <f>IF('Projekt a žadatel'!E23="ANO","Vyplňte Rozpočet podle posledního vydaného Změnového rozhodnutí","")</f>
        <v>Vyplňte Rozpočet podle posledního vydaného Změnového rozhodnutí</v>
      </c>
    </row>
    <row r="12" spans="1:11">
      <c r="A12" s="131" t="s">
        <v>20</v>
      </c>
      <c r="B12" s="132" t="s">
        <v>18</v>
      </c>
      <c r="C12" s="133">
        <f>SUM(C13:C14)</f>
        <v>0</v>
      </c>
      <c r="D12" s="133">
        <f>SUM(D13:D14)</f>
        <v>0</v>
      </c>
      <c r="E12" s="134" t="s">
        <v>29</v>
      </c>
      <c r="F12" s="18">
        <f>SUM(F13:F60)</f>
        <v>0</v>
      </c>
      <c r="G12" s="17" t="str">
        <f>IF(F12=0,"",IF(F12=1,"položka",IF(AND(F12&gt;1,F12&lt;5),"položky","položek")))</f>
        <v/>
      </c>
      <c r="H12" s="17"/>
      <c r="I12" s="17"/>
      <c r="J12" s="17"/>
      <c r="K12" s="133">
        <f>SUM(K13:K14)</f>
        <v>0</v>
      </c>
    </row>
    <row r="13" spans="1:11" ht="30">
      <c r="A13" s="122" t="s">
        <v>7</v>
      </c>
      <c r="B13" s="71" t="s">
        <v>73</v>
      </c>
      <c r="C13" s="72">
        <f>IF(C3="NE",VLOOKUP(CONCATENATE("MIZPP",'Projekt a žadatel'!C4,'Projekt a žadatel'!C7,'Projekt a žadatel'!C3),DB_rozpočtů!A3:CS25,26,FALSE),K13)</f>
        <v>0</v>
      </c>
      <c r="D13" s="73"/>
      <c r="E13" s="135"/>
      <c r="F13" s="17">
        <f>IF(AND(E13="",D13&lt;&gt;C13),1,0)</f>
        <v>0</v>
      </c>
      <c r="G13" s="17"/>
      <c r="H13" s="17"/>
      <c r="I13" s="17"/>
      <c r="J13" s="17"/>
      <c r="K13" s="73"/>
    </row>
    <row r="14" spans="1:11" s="164" customFormat="1">
      <c r="A14" s="122" t="s">
        <v>8</v>
      </c>
      <c r="B14" s="159" t="s">
        <v>2</v>
      </c>
      <c r="C14" s="160">
        <f>IF(C3="NE",VLOOKUP(CONCATENATE("MIZPP",'Projekt a žadatel'!C4,'Projekt a žadatel'!C7,'Projekt a žadatel'!C3),DB_rozpočtů!A3:CS25,27,FALSE),K14)</f>
        <v>0</v>
      </c>
      <c r="D14" s="161"/>
      <c r="E14" s="162"/>
      <c r="F14" s="163">
        <f>IF(AND(E14="",D14&lt;&gt;C14),1,0)</f>
        <v>0</v>
      </c>
      <c r="G14" s="163"/>
      <c r="H14" s="163"/>
      <c r="I14" s="163"/>
      <c r="J14" s="163"/>
      <c r="K14" s="161"/>
    </row>
    <row r="15" spans="1:11" ht="15" hidden="1" customHeight="1" thickBot="1">
      <c r="A15" s="122" t="s">
        <v>9</v>
      </c>
      <c r="B15" s="71" t="s">
        <v>74</v>
      </c>
      <c r="C15" s="72"/>
      <c r="D15" s="73"/>
      <c r="E15" s="136"/>
      <c r="F15" s="17">
        <f>IF(AND(E15="",D15&lt;&gt;C15),1,0)</f>
        <v>0</v>
      </c>
      <c r="G15" s="17"/>
      <c r="H15" s="17"/>
      <c r="I15" s="17"/>
      <c r="J15" s="17"/>
      <c r="K15" s="73"/>
    </row>
    <row r="16" spans="1:11">
      <c r="A16" s="131" t="s">
        <v>19</v>
      </c>
      <c r="B16" s="132" t="s">
        <v>22</v>
      </c>
      <c r="C16" s="133">
        <f>SUM(C17:C18)</f>
        <v>0</v>
      </c>
      <c r="D16" s="133">
        <f>SUM(D17:D18)</f>
        <v>0</v>
      </c>
      <c r="E16" s="137" t="s">
        <v>29</v>
      </c>
      <c r="F16" s="17"/>
      <c r="G16" s="17"/>
      <c r="H16" s="17"/>
      <c r="I16" s="17"/>
      <c r="J16" s="17"/>
      <c r="K16" s="133">
        <f>SUM(K17:K18)</f>
        <v>0</v>
      </c>
    </row>
    <row r="17" spans="1:11">
      <c r="A17" s="122" t="s">
        <v>10</v>
      </c>
      <c r="B17" s="76" t="s">
        <v>13</v>
      </c>
      <c r="C17" s="72">
        <f>IF(C3="NE",VLOOKUP(CONCATENATE("MIZPP",'Projekt a žadatel'!C4,'Projekt a žadatel'!C7,'Projekt a žadatel'!C3),DB_rozpočtů!A3:CS25,29,FALSE),K17)</f>
        <v>0</v>
      </c>
      <c r="D17" s="73"/>
      <c r="E17" s="135"/>
      <c r="F17" s="17">
        <f>IF(AND(E17="",D17&lt;&gt;C17),1,0)</f>
        <v>0</v>
      </c>
      <c r="G17" s="17"/>
      <c r="H17" s="17"/>
      <c r="I17" s="17"/>
      <c r="J17" s="17"/>
      <c r="K17" s="73"/>
    </row>
    <row r="18" spans="1:11">
      <c r="A18" s="122" t="s">
        <v>26</v>
      </c>
      <c r="B18" s="71" t="s">
        <v>27</v>
      </c>
      <c r="C18" s="72">
        <f>IF(C3="NE",VLOOKUP(CONCATENATE("MIZPP",'Projekt a žadatel'!C4,'Projekt a žadatel'!C7,'Projekt a žadatel'!C3),DB_rozpočtů!A3:CS25,30,FALSE),K18)</f>
        <v>0</v>
      </c>
      <c r="D18" s="73"/>
      <c r="E18" s="135"/>
      <c r="F18" s="17">
        <f>IF(AND(E18="",D18&lt;&gt;C18),1,0)</f>
        <v>0</v>
      </c>
      <c r="G18" s="17"/>
      <c r="H18" s="17"/>
      <c r="I18" s="17"/>
      <c r="J18" s="17"/>
      <c r="K18" s="73"/>
    </row>
    <row r="19" spans="1:11">
      <c r="A19" s="131" t="s">
        <v>17</v>
      </c>
      <c r="B19" s="138" t="s">
        <v>21</v>
      </c>
      <c r="C19" s="133">
        <f>SUM(C20:C20)</f>
        <v>0</v>
      </c>
      <c r="D19" s="133">
        <f>SUM(D20:D20)</f>
        <v>0</v>
      </c>
      <c r="E19" s="139" t="s">
        <v>29</v>
      </c>
      <c r="F19" s="17"/>
      <c r="G19" s="17"/>
      <c r="H19" s="17"/>
      <c r="I19" s="17"/>
      <c r="J19" s="17"/>
      <c r="K19" s="133">
        <f>SUM(K20:K20)</f>
        <v>0</v>
      </c>
    </row>
    <row r="20" spans="1:11">
      <c r="A20" s="122" t="s">
        <v>11</v>
      </c>
      <c r="B20" s="71" t="s">
        <v>75</v>
      </c>
      <c r="C20" s="72">
        <f>IF(C3="NE",VLOOKUP(CONCATENATE("MIZPP",'Projekt a žadatel'!C4,'Projekt a žadatel'!C7,'Projekt a žadatel'!C3),DB_rozpočtů!A3:CS25,32,FALSE),K23)</f>
        <v>0</v>
      </c>
      <c r="D20" s="73"/>
      <c r="E20" s="135"/>
      <c r="F20" s="17">
        <f>IF(AND(E23="",D23&lt;&gt;C23),1,0)</f>
        <v>0</v>
      </c>
      <c r="G20" s="17"/>
      <c r="H20" s="17"/>
      <c r="I20" s="17"/>
      <c r="J20" s="17"/>
      <c r="K20" s="73"/>
    </row>
    <row r="21" spans="1:11" hidden="1">
      <c r="A21" s="122" t="s">
        <v>159</v>
      </c>
      <c r="B21" s="172" t="e">
        <f>VLOOKUP(CONCATENATE("MIZPP",'Projekt a žadatel'!C4,'Projekt a žadatel'!C7,'Projekt a žadatel'!C3),DB_rozpočtů!A3:CS25,33,FALSE)</f>
        <v>#N/A</v>
      </c>
      <c r="C21" s="72">
        <f>IF(C3="NE",VLOOKUP(CONCATENATE("MIZPP",'Projekt a žadatel'!C4,'Projekt a žadatel'!C7,'Projekt a žadatel'!C3),DB_rozpočtů!A3:CS25,34,FALSE),K21)</f>
        <v>0</v>
      </c>
      <c r="D21" s="73"/>
      <c r="E21" s="135"/>
      <c r="F21" s="17"/>
      <c r="G21" s="17"/>
      <c r="H21" s="17"/>
      <c r="I21" s="17"/>
      <c r="J21" s="17"/>
      <c r="K21" s="73"/>
    </row>
    <row r="22" spans="1:11" hidden="1">
      <c r="A22" s="122" t="s">
        <v>186</v>
      </c>
      <c r="B22" s="172" t="e">
        <f>VLOOKUP(CONCATENATE("MIZPP",'Projekt a žadatel'!C4,'Projekt a žadatel'!C7,'Projekt a žadatel'!C3),DB_rozpočtů!A3:CS25,35,FALSE)</f>
        <v>#N/A</v>
      </c>
      <c r="C22" s="72">
        <f>IF(C3="NE",VLOOKUP(CONCATENATE("MIZPP",'Projekt a žadatel'!C4,'Projekt a žadatel'!C7,'Projekt a žadatel'!C3),DB_rozpočtů!A3:CS25,36,FALSE),K22)</f>
        <v>0</v>
      </c>
      <c r="D22" s="73"/>
      <c r="E22" s="135"/>
      <c r="F22" s="17">
        <f>IF(AND(E22="",D22&lt;&gt;C22),1,0)</f>
        <v>0</v>
      </c>
      <c r="G22" s="17"/>
      <c r="H22" s="17"/>
      <c r="I22" s="17"/>
      <c r="J22" s="17"/>
      <c r="K22" s="73"/>
    </row>
    <row r="23" spans="1:11">
      <c r="A23" s="131" t="s">
        <v>188</v>
      </c>
      <c r="B23" s="138" t="s">
        <v>187</v>
      </c>
      <c r="C23" s="133">
        <f>SUM(C24:C28)</f>
        <v>0</v>
      </c>
      <c r="D23" s="133">
        <f>SUM(D24:D28)</f>
        <v>0</v>
      </c>
      <c r="E23" s="139" t="s">
        <v>29</v>
      </c>
      <c r="F23" s="17"/>
      <c r="G23" s="17"/>
      <c r="H23" s="17"/>
      <c r="I23" s="17"/>
      <c r="J23" s="17"/>
      <c r="K23" s="133">
        <f>SUM(K24:K28)</f>
        <v>0</v>
      </c>
    </row>
    <row r="24" spans="1:11">
      <c r="A24" s="122" t="s">
        <v>160</v>
      </c>
      <c r="B24" s="167" t="e">
        <f>VLOOKUP(CONCATENATE("MIZPP",'Projekt a žadatel'!C4,'Projekt a žadatel'!C7,'Projekt a žadatel'!C3),DB_rozpočtů!A3:CS25,38,FALSE)</f>
        <v>#N/A</v>
      </c>
      <c r="C24" s="72">
        <f>IF(C3="NE",VLOOKUP(CONCATENATE("MIZPP",'Projekt a žadatel'!C4,'Projekt a žadatel'!C7,'Projekt a žadatel'!C3),DB_rozpočtů!A3:CS25,39,FALSE),K24)</f>
        <v>0</v>
      </c>
      <c r="D24" s="73"/>
      <c r="E24" s="135"/>
      <c r="F24" s="17">
        <f>IF(AND(E24="",D24&lt;&gt;C24),1,0)</f>
        <v>0</v>
      </c>
      <c r="G24" s="17"/>
      <c r="H24" s="17"/>
      <c r="I24" s="17"/>
      <c r="J24" s="17"/>
      <c r="K24" s="73"/>
    </row>
    <row r="25" spans="1:11">
      <c r="A25" s="122" t="s">
        <v>161</v>
      </c>
      <c r="B25" s="168" t="e">
        <f>CONCATENATE(VLOOKUP(CONCATENATE("MIZPP",'Projekt a žadatel'!C4,'Projekt a žadatel'!C7,'Projekt a žadatel'!C3),DB_rozpočtů!A3:CS25,40,FALSE))</f>
        <v>#N/A</v>
      </c>
      <c r="C25" s="72">
        <f>IF(C3="NE",VLOOKUP(CONCATENATE("MIZPP",'Projekt a žadatel'!C4,'Projekt a žadatel'!C7,'Projekt a žadatel'!C3),DB_rozpočtů!A3:CS25,41,FALSE),K25)</f>
        <v>0</v>
      </c>
      <c r="D25" s="73"/>
      <c r="E25" s="135"/>
      <c r="F25" s="17">
        <f>IF(AND(E25="",D25&lt;&gt;C25),1,0)</f>
        <v>0</v>
      </c>
      <c r="G25" s="17"/>
      <c r="H25" s="17"/>
      <c r="I25" s="17"/>
      <c r="J25" s="17"/>
      <c r="K25" s="73"/>
    </row>
    <row r="26" spans="1:11" ht="13.5" hidden="1" customHeight="1">
      <c r="A26" s="122"/>
      <c r="B26" s="74"/>
      <c r="C26" s="72"/>
      <c r="D26" s="73"/>
      <c r="E26" s="135"/>
      <c r="F26" s="17"/>
      <c r="G26" s="17"/>
      <c r="H26" s="17"/>
      <c r="I26" s="17"/>
      <c r="J26" s="17"/>
      <c r="K26" s="73"/>
    </row>
    <row r="27" spans="1:11" hidden="1">
      <c r="A27" s="122"/>
      <c r="B27" s="74"/>
      <c r="C27" s="72"/>
      <c r="D27" s="73"/>
      <c r="E27" s="135"/>
      <c r="F27" s="17"/>
      <c r="G27" s="17"/>
      <c r="H27" s="17"/>
      <c r="I27" s="17"/>
      <c r="J27" s="17"/>
      <c r="K27" s="73"/>
    </row>
    <row r="28" spans="1:11" hidden="1">
      <c r="A28" s="122"/>
      <c r="B28" s="74"/>
      <c r="C28" s="72"/>
      <c r="D28" s="73"/>
      <c r="E28" s="135"/>
      <c r="F28" s="17"/>
      <c r="G28" s="17"/>
      <c r="H28" s="17"/>
      <c r="I28" s="17"/>
      <c r="J28" s="17"/>
      <c r="K28" s="73"/>
    </row>
    <row r="29" spans="1:11" hidden="1">
      <c r="A29" s="122"/>
      <c r="B29" s="75"/>
      <c r="C29" s="72"/>
      <c r="D29" s="73"/>
      <c r="E29" s="135"/>
      <c r="F29" s="17"/>
      <c r="G29" s="17"/>
      <c r="H29" s="17"/>
      <c r="I29" s="17"/>
      <c r="J29" s="17"/>
      <c r="K29" s="73"/>
    </row>
    <row r="30" spans="1:11" hidden="1">
      <c r="A30" s="122"/>
      <c r="B30" s="75"/>
      <c r="C30" s="72"/>
      <c r="D30" s="73"/>
      <c r="E30" s="135"/>
      <c r="F30" s="17"/>
      <c r="G30" s="17"/>
      <c r="H30" s="17"/>
      <c r="I30" s="17"/>
      <c r="J30" s="17"/>
      <c r="K30" s="73"/>
    </row>
    <row r="31" spans="1:11" hidden="1">
      <c r="A31" s="122"/>
      <c r="B31" s="75"/>
      <c r="C31" s="72"/>
      <c r="D31" s="73"/>
      <c r="E31" s="135"/>
      <c r="F31" s="17"/>
      <c r="G31" s="17"/>
      <c r="H31" s="17"/>
      <c r="I31" s="17"/>
      <c r="J31" s="17"/>
      <c r="K31" s="73"/>
    </row>
    <row r="32" spans="1:11" hidden="1">
      <c r="A32" s="122"/>
      <c r="B32" s="75"/>
      <c r="C32" s="72"/>
      <c r="D32" s="73"/>
      <c r="E32" s="135"/>
      <c r="F32" s="17"/>
      <c r="G32" s="17"/>
      <c r="H32" s="17"/>
      <c r="I32" s="17"/>
      <c r="J32" s="17"/>
      <c r="K32" s="73"/>
    </row>
    <row r="33" spans="1:11">
      <c r="A33" s="131" t="s">
        <v>149</v>
      </c>
      <c r="B33" s="138" t="s">
        <v>23</v>
      </c>
      <c r="C33" s="133">
        <f>SUM(C34:C55)</f>
        <v>0</v>
      </c>
      <c r="D33" s="133">
        <f>SUM(D34:D55)</f>
        <v>0</v>
      </c>
      <c r="E33" s="139" t="s">
        <v>29</v>
      </c>
      <c r="F33" s="17"/>
      <c r="G33" s="17"/>
      <c r="H33" s="17"/>
      <c r="I33" s="17"/>
      <c r="J33" s="17"/>
      <c r="K33" s="133">
        <f>SUM(K34:K53)</f>
        <v>0</v>
      </c>
    </row>
    <row r="34" spans="1:11">
      <c r="A34" s="122" t="s">
        <v>162</v>
      </c>
      <c r="B34" s="76" t="s">
        <v>68</v>
      </c>
      <c r="C34" s="72">
        <f>IF(C3="NE",VLOOKUP(CONCATENATE("MIZPP",'Projekt a žadatel'!C4,'Projekt a žadatel'!C7,'Projekt a žadatel'!C3),DB_rozpočtů!A3:CS25,43,FALSE),K34)</f>
        <v>0</v>
      </c>
      <c r="D34" s="73"/>
      <c r="E34" s="135"/>
      <c r="F34" s="17">
        <f t="shared" ref="F34:F41" si="0">IF(AND(E34="",D34&lt;&gt;C34),1,0)</f>
        <v>0</v>
      </c>
      <c r="G34" s="17"/>
      <c r="H34" s="17"/>
      <c r="I34" s="17"/>
      <c r="J34" s="17"/>
      <c r="K34" s="73"/>
    </row>
    <row r="35" spans="1:11">
      <c r="A35" s="122" t="s">
        <v>163</v>
      </c>
      <c r="B35" s="71" t="s">
        <v>69</v>
      </c>
      <c r="C35" s="72">
        <f>IF(C3="NE",VLOOKUP(CONCATENATE("MIZPP",'Projekt a žadatel'!C4,'Projekt a žadatel'!C7,'Projekt a žadatel'!C3),DB_rozpočtů!A3:CS25,44,FALSE),K35)</f>
        <v>0</v>
      </c>
      <c r="D35" s="73"/>
      <c r="E35" s="135"/>
      <c r="F35" s="17">
        <f t="shared" si="0"/>
        <v>0</v>
      </c>
      <c r="G35" s="17"/>
      <c r="H35" s="17"/>
      <c r="I35" s="17"/>
      <c r="J35" s="17"/>
      <c r="K35" s="73"/>
    </row>
    <row r="36" spans="1:11" ht="30">
      <c r="A36" s="122" t="s">
        <v>164</v>
      </c>
      <c r="B36" s="71" t="s">
        <v>189</v>
      </c>
      <c r="C36" s="72">
        <f>IF(C3="NE",VLOOKUP(CONCATENATE("MIZPP",'Projekt a žadatel'!C4,'Projekt a žadatel'!C7,'Projekt a žadatel'!C3),DB_rozpočtů!A3:CS25,45,FALSE),K36)</f>
        <v>0</v>
      </c>
      <c r="D36" s="73"/>
      <c r="E36" s="135"/>
      <c r="F36" s="17">
        <f t="shared" si="0"/>
        <v>0</v>
      </c>
      <c r="G36" s="17"/>
      <c r="H36" s="17"/>
      <c r="I36" s="17"/>
      <c r="J36" s="17"/>
      <c r="K36" s="73"/>
    </row>
    <row r="37" spans="1:11">
      <c r="A37" s="122" t="s">
        <v>165</v>
      </c>
      <c r="B37" s="76" t="s">
        <v>14</v>
      </c>
      <c r="C37" s="72">
        <f>IF(C3="NE",VLOOKUP(CONCATENATE("MIZPP",'Projekt a žadatel'!C4,'Projekt a žadatel'!C7,'Projekt a žadatel'!C3),DB_rozpočtů!A3:CS25,46,FALSE),K37)</f>
        <v>0</v>
      </c>
      <c r="D37" s="73"/>
      <c r="E37" s="135"/>
      <c r="F37" s="17">
        <f t="shared" si="0"/>
        <v>0</v>
      </c>
      <c r="G37" s="17"/>
      <c r="H37" s="17"/>
      <c r="I37" s="17"/>
      <c r="J37" s="17"/>
      <c r="K37" s="73"/>
    </row>
    <row r="38" spans="1:11">
      <c r="A38" s="122" t="s">
        <v>166</v>
      </c>
      <c r="B38" s="76" t="s">
        <v>1</v>
      </c>
      <c r="C38" s="72">
        <f>IF(C3="NE",VLOOKUP(CONCATENATE("MIZPP",'Projekt a žadatel'!C4,'Projekt a žadatel'!C7,'Projekt a žadatel'!C3),DB_rozpočtů!A3:CS25,47,FALSE),K38)</f>
        <v>0</v>
      </c>
      <c r="D38" s="73"/>
      <c r="E38" s="135"/>
      <c r="F38" s="17">
        <f t="shared" si="0"/>
        <v>0</v>
      </c>
      <c r="G38" s="17"/>
      <c r="H38" s="17"/>
      <c r="I38" s="17"/>
      <c r="J38" s="17"/>
      <c r="K38" s="73"/>
    </row>
    <row r="39" spans="1:11" s="164" customFormat="1" ht="30">
      <c r="A39" s="122" t="s">
        <v>167</v>
      </c>
      <c r="B39" s="165" t="s">
        <v>70</v>
      </c>
      <c r="C39" s="160">
        <f>IF(C3="NE",VLOOKUP(CONCATENATE("MIZPP",'Projekt a žadatel'!C4,'Projekt a žadatel'!C7,'Projekt a žadatel'!C3),DB_rozpočtů!A3:CS25,48,FALSE),K39)</f>
        <v>0</v>
      </c>
      <c r="D39" s="161"/>
      <c r="E39" s="162"/>
      <c r="F39" s="163">
        <f t="shared" si="0"/>
        <v>0</v>
      </c>
      <c r="G39" s="163"/>
      <c r="H39" s="163"/>
      <c r="I39" s="163"/>
      <c r="J39" s="163"/>
      <c r="K39" s="161"/>
    </row>
    <row r="40" spans="1:11">
      <c r="A40" s="122" t="s">
        <v>168</v>
      </c>
      <c r="B40" s="76" t="s">
        <v>16</v>
      </c>
      <c r="C40" s="72">
        <f>IF(C3="NE",VLOOKUP(CONCATENATE("MIZPP",'Projekt a žadatel'!C4,'Projekt a žadatel'!C7,'Projekt a žadatel'!C3),DB_rozpočtů!A3:CS25,49,FALSE),K40)</f>
        <v>0</v>
      </c>
      <c r="D40" s="73"/>
      <c r="E40" s="135"/>
      <c r="F40" s="17">
        <f t="shared" si="0"/>
        <v>0</v>
      </c>
      <c r="G40" s="17"/>
      <c r="H40" s="17"/>
      <c r="I40" s="17"/>
      <c r="J40" s="17"/>
      <c r="K40" s="73"/>
    </row>
    <row r="41" spans="1:11">
      <c r="A41" s="122" t="s">
        <v>169</v>
      </c>
      <c r="B41" s="76" t="s">
        <v>15</v>
      </c>
      <c r="C41" s="72">
        <f>IF(C3="NE",VLOOKUP(CONCATENATE("MIZPP",'Projekt a žadatel'!C4,'Projekt a žadatel'!C7,'Projekt a žadatel'!C3),DB_rozpočtů!A3:CS25,50,FALSE),K40)</f>
        <v>0</v>
      </c>
      <c r="D41" s="73"/>
      <c r="E41" s="135"/>
      <c r="F41" s="17">
        <f t="shared" si="0"/>
        <v>0</v>
      </c>
      <c r="G41" s="17"/>
      <c r="H41" s="17"/>
      <c r="I41" s="17"/>
      <c r="J41" s="17"/>
      <c r="K41" s="73"/>
    </row>
    <row r="42" spans="1:11">
      <c r="A42" s="122" t="s">
        <v>190</v>
      </c>
      <c r="B42" s="76" t="e">
        <f>VLOOKUP(CONCATENATE("MIZPP",'Projekt a žadatel'!C4,'Projekt a žadatel'!C7,'Projekt a žadatel'!C3),DB_rozpočtů!A3:CS25,51,FALSE)</f>
        <v>#N/A</v>
      </c>
      <c r="C42" s="72">
        <f>IF(C3="NE",VLOOKUP(CONCATENATE("MIZPP",'Projekt a žadatel'!C4,'Projekt a žadatel'!C7,'Projekt a žadatel'!C3),DB_rozpočtů!A3:CS25,52,FALSE),K40)</f>
        <v>0</v>
      </c>
      <c r="D42" s="73"/>
      <c r="E42" s="135"/>
      <c r="F42" s="17">
        <f t="shared" ref="F42:F56" si="1">IF(AND(E42="",D42&lt;&gt;C42),1,0)</f>
        <v>0</v>
      </c>
      <c r="G42" s="17"/>
      <c r="H42" s="17"/>
      <c r="I42" s="17"/>
      <c r="J42" s="17"/>
      <c r="K42" s="73"/>
    </row>
    <row r="43" spans="1:11" s="164" customFormat="1">
      <c r="A43" s="122" t="s">
        <v>191</v>
      </c>
      <c r="B43" s="159" t="e">
        <f>CONCATENATE(VLOOKUP(CONCATENATE("MIZPP",'Projekt a žadatel'!C4,'Projekt a žadatel'!C7,'Projekt a žadatel'!C3),DB_rozpočtů!A3:CS25,53,FALSE))</f>
        <v>#N/A</v>
      </c>
      <c r="C43" s="160">
        <f>IF(C3="NE",VLOOKUP(CONCATENATE("MIZPP",'Projekt a žadatel'!C4,'Projekt a žadatel'!C7,'Projekt a žadatel'!C3),DB_rozpočtů!A3:CS25,54,FALSE),K43)</f>
        <v>0</v>
      </c>
      <c r="D43" s="161"/>
      <c r="E43" s="162"/>
      <c r="F43" s="163">
        <f t="shared" si="1"/>
        <v>0</v>
      </c>
      <c r="G43" s="163"/>
      <c r="H43" s="163"/>
      <c r="I43" s="163"/>
      <c r="J43" s="163"/>
      <c r="K43" s="161"/>
    </row>
    <row r="44" spans="1:11" ht="16.5" customHeight="1">
      <c r="A44" s="122" t="s">
        <v>192</v>
      </c>
      <c r="B44" s="76" t="e">
        <f>CONCATENATE(VLOOKUP(CONCATENATE("MIZPP",'Projekt a žadatel'!C4,'Projekt a žadatel'!C7,'Projekt a žadatel'!C3),DB_rozpočtů!A3:CS25,55,FALSE))</f>
        <v>#N/A</v>
      </c>
      <c r="C44" s="72">
        <f>IF(C3="NE",VLOOKUP(CONCATENATE("MIZPP",'Projekt a žadatel'!C4,'Projekt a žadatel'!C7,'Projekt a žadatel'!C3),DB_rozpočtů!A3:CS25,56,FALSE),K44)</f>
        <v>0</v>
      </c>
      <c r="D44" s="73"/>
      <c r="E44" s="135"/>
      <c r="F44" s="17">
        <f t="shared" si="1"/>
        <v>0</v>
      </c>
      <c r="G44" s="17"/>
      <c r="H44" s="17"/>
      <c r="I44" s="17"/>
      <c r="J44" s="17"/>
      <c r="K44" s="73"/>
    </row>
    <row r="45" spans="1:11">
      <c r="A45" s="115" t="s">
        <v>193</v>
      </c>
      <c r="B45" s="169" t="e">
        <f>CONCATENATE(VLOOKUP(CONCATENATE("MIZPP",'Projekt a žadatel'!C4,'Projekt a žadatel'!C7,'Projekt a žadatel'!C3),DB_rozpočtů!A3:CS25,57,FALSE))</f>
        <v>#N/A</v>
      </c>
      <c r="C45" s="72">
        <f>IF(C3="NE",VLOOKUP(CONCATENATE("MIZPP",'Projekt a žadatel'!C4,'Projekt a žadatel'!C7,'Projekt a žadatel'!C3),DB_rozpočtů!A$3:CS$25,58,FALSE),K45)</f>
        <v>0</v>
      </c>
      <c r="D45" s="73"/>
      <c r="E45" s="135"/>
      <c r="F45" s="17">
        <f t="shared" si="1"/>
        <v>0</v>
      </c>
      <c r="G45" s="17"/>
      <c r="H45" s="17"/>
      <c r="I45" s="17"/>
      <c r="J45" s="17"/>
      <c r="K45" s="73"/>
    </row>
    <row r="46" spans="1:11" hidden="1">
      <c r="A46" s="115"/>
      <c r="B46" s="169"/>
      <c r="C46" s="72"/>
      <c r="D46" s="73"/>
      <c r="E46" s="135"/>
      <c r="F46" s="17"/>
      <c r="G46" s="17"/>
      <c r="H46" s="17"/>
      <c r="I46" s="17"/>
      <c r="J46" s="17"/>
      <c r="K46" s="73"/>
    </row>
    <row r="47" spans="1:11" hidden="1">
      <c r="A47" s="115"/>
      <c r="B47" s="169"/>
      <c r="C47" s="72"/>
      <c r="D47" s="73"/>
      <c r="E47" s="135"/>
      <c r="F47" s="17"/>
      <c r="G47" s="17"/>
      <c r="H47" s="17"/>
      <c r="I47" s="17"/>
      <c r="J47" s="17"/>
      <c r="K47" s="73"/>
    </row>
    <row r="48" spans="1:11" hidden="1">
      <c r="A48" s="115"/>
      <c r="B48" s="169"/>
      <c r="C48" s="72"/>
      <c r="D48" s="73"/>
      <c r="E48" s="135"/>
      <c r="F48" s="17"/>
      <c r="G48" s="17"/>
      <c r="H48" s="17"/>
      <c r="I48" s="17"/>
      <c r="J48" s="17"/>
      <c r="K48" s="73"/>
    </row>
    <row r="49" spans="1:11" hidden="1">
      <c r="A49" s="115"/>
      <c r="B49" s="170"/>
      <c r="C49" s="72"/>
      <c r="D49" s="73"/>
      <c r="E49" s="136"/>
      <c r="F49" s="17"/>
      <c r="G49" s="17"/>
      <c r="H49" s="17"/>
      <c r="I49" s="17"/>
      <c r="J49" s="17"/>
      <c r="K49" s="73"/>
    </row>
    <row r="50" spans="1:11" hidden="1">
      <c r="A50" s="115"/>
      <c r="B50" s="170"/>
      <c r="C50" s="72"/>
      <c r="D50" s="73"/>
      <c r="E50" s="136"/>
      <c r="F50" s="17"/>
      <c r="G50" s="17"/>
      <c r="H50" s="17"/>
      <c r="I50" s="17"/>
      <c r="J50" s="17"/>
      <c r="K50" s="73"/>
    </row>
    <row r="51" spans="1:11" ht="16.5" customHeight="1">
      <c r="A51" s="115" t="s">
        <v>194</v>
      </c>
      <c r="B51" s="170" t="e">
        <f>CONCATENATE(VLOOKUP(CONCATENATE("MIZPP",'Projekt a žadatel'!C4,'Projekt a žadatel'!C7,'Projekt a žadatel'!C3),DB_rozpočtů!A3:CS25,59,FALSE))</f>
        <v>#N/A</v>
      </c>
      <c r="C51" s="72">
        <f>IF(C3="NE",VLOOKUP(CONCATENATE("MIZPP",'Projekt a žadatel'!C4,'Projekt a žadatel'!C7,'Projekt a žadatel'!C3),DB_rozpočtů!A$3:CS$25,60,FALSE),K51)</f>
        <v>0</v>
      </c>
      <c r="D51" s="73"/>
      <c r="E51" s="135"/>
      <c r="F51" s="17">
        <f t="shared" si="1"/>
        <v>0</v>
      </c>
      <c r="G51" s="17"/>
      <c r="H51" s="17"/>
      <c r="I51" s="17"/>
      <c r="J51" s="17"/>
      <c r="K51" s="73"/>
    </row>
    <row r="52" spans="1:11" ht="16.5" customHeight="1">
      <c r="A52" s="115" t="s">
        <v>195</v>
      </c>
      <c r="B52" s="170" t="e">
        <f>CONCATENATE(VLOOKUP(CONCATENATE("MIZPP",'Projekt a žadatel'!C4,'Projekt a žadatel'!C7,'Projekt a žadatel'!C3),DB_rozpočtů!A3:CS25,61,FALSE))</f>
        <v>#N/A</v>
      </c>
      <c r="C52" s="72">
        <f>IF(C3="NE",VLOOKUP(CONCATENATE("MIZPP",'Projekt a žadatel'!C4,'Projekt a žadatel'!C7,'Projekt a žadatel'!C3),DB_rozpočtů!A$3:CS$25,62,FALSE),K52)</f>
        <v>0</v>
      </c>
      <c r="D52" s="73"/>
      <c r="E52" s="135"/>
      <c r="F52" s="17">
        <f t="shared" si="1"/>
        <v>0</v>
      </c>
      <c r="G52" s="17"/>
      <c r="H52" s="17"/>
      <c r="I52" s="17"/>
      <c r="J52" s="17"/>
      <c r="K52" s="73"/>
    </row>
    <row r="53" spans="1:11" ht="16.5" customHeight="1">
      <c r="A53" s="115" t="s">
        <v>196</v>
      </c>
      <c r="B53" s="170" t="e">
        <f>CONCATENATE(VLOOKUP(CONCATENATE("MIZPP",'Projekt a žadatel'!C4,'Projekt a žadatel'!C7,'Projekt a žadatel'!C3),DB_rozpočtů!A3:CS25,63,FALSE))</f>
        <v>#N/A</v>
      </c>
      <c r="C53" s="72">
        <f>IF(C3="NE",VLOOKUP(CONCATENATE("MIZPP",'Projekt a žadatel'!C4,'Projekt a žadatel'!C7,'Projekt a žadatel'!C3),DB_rozpočtů!A$3:CS$25,64,FALSE),K53)</f>
        <v>0</v>
      </c>
      <c r="D53" s="73"/>
      <c r="E53" s="135"/>
      <c r="F53" s="17">
        <f t="shared" si="1"/>
        <v>0</v>
      </c>
      <c r="G53" s="17"/>
      <c r="H53" s="17"/>
      <c r="I53" s="17"/>
      <c r="J53" s="17"/>
      <c r="K53" s="73"/>
    </row>
    <row r="54" spans="1:11" ht="16.5" customHeight="1">
      <c r="A54" s="115" t="s">
        <v>367</v>
      </c>
      <c r="B54" s="170" t="e">
        <f>CONCATENATE(VLOOKUP(CONCATENATE("MIZPP",'Projekt a žadatel'!C4,'Projekt a žadatel'!C7,'Projekt a žadatel'!C3),DB_rozpočtů!A3:CS25,65,FALSE))</f>
        <v>#N/A</v>
      </c>
      <c r="C54" s="72">
        <f>IF(C3="NE",VLOOKUP(CONCATENATE("MIZPP",'Projekt a žadatel'!C4,'Projekt a žadatel'!C7,'Projekt a žadatel'!C3),DB_rozpočtů!A$3:CS$25,66,FALSE),K53)</f>
        <v>0</v>
      </c>
      <c r="D54" s="73"/>
      <c r="E54" s="135"/>
      <c r="F54" s="17"/>
      <c r="G54" s="17"/>
      <c r="H54" s="17"/>
      <c r="I54" s="17"/>
      <c r="J54" s="17"/>
      <c r="K54" s="73"/>
    </row>
    <row r="55" spans="1:11" ht="16.5" customHeight="1">
      <c r="A55" s="115" t="s">
        <v>368</v>
      </c>
      <c r="B55" s="170" t="e">
        <f>CONCATENATE(VLOOKUP(CONCATENATE("MIZPP",'Projekt a žadatel'!C4,'Projekt a žadatel'!C7,'Projekt a žadatel'!C3),DB_rozpočtů!A3:CS25,67,FALSE))</f>
        <v>#N/A</v>
      </c>
      <c r="C55" s="72">
        <f>IF(C3="NE",VLOOKUP(CONCATENATE("MIZPP",'Projekt a žadatel'!C4,'Projekt a žadatel'!C7,'Projekt a žadatel'!C3),DB_rozpočtů!A$3:CS$25,68,FALSE),K53)</f>
        <v>0</v>
      </c>
      <c r="D55" s="73"/>
      <c r="E55" s="135"/>
      <c r="F55" s="17"/>
      <c r="G55" s="17"/>
      <c r="H55" s="17"/>
      <c r="I55" s="17"/>
      <c r="J55" s="17"/>
      <c r="K55" s="73"/>
    </row>
    <row r="56" spans="1:11" ht="15.75">
      <c r="A56" s="140"/>
      <c r="B56" s="141" t="s">
        <v>197</v>
      </c>
      <c r="C56" s="142">
        <f>+C12+C16+C19+C23+C33</f>
        <v>0</v>
      </c>
      <c r="D56" s="142">
        <f>+D12+D16+D19+D23+D33</f>
        <v>0</v>
      </c>
      <c r="E56" s="143" t="s">
        <v>29</v>
      </c>
      <c r="F56" s="17">
        <f t="shared" si="1"/>
        <v>0</v>
      </c>
      <c r="G56" s="17"/>
      <c r="H56" s="17"/>
      <c r="I56" s="17"/>
      <c r="J56" s="17"/>
      <c r="K56" s="142">
        <f>+K12+K16+K19+K23+K33</f>
        <v>0</v>
      </c>
    </row>
    <row r="57" spans="1:11" ht="45">
      <c r="A57" s="131" t="s">
        <v>357</v>
      </c>
      <c r="B57" s="77" t="s">
        <v>719</v>
      </c>
      <c r="C57" s="144">
        <f>IF(C3="NE",VLOOKUP(CONCATENATE("MIZPP",'Projekt a žadatel'!C4,'Projekt a žadatel'!C7,'Projekt a žadatel'!C3),DB_rozpočtů!A3:CS25,70,FALSE),K57)</f>
        <v>0</v>
      </c>
      <c r="D57" s="145"/>
      <c r="E57" s="135"/>
      <c r="F57" s="17">
        <f>IF(AND(E57="",D57&lt;&gt;C57),1,0)</f>
        <v>0</v>
      </c>
      <c r="G57" s="17"/>
      <c r="H57" s="17"/>
      <c r="I57" s="17"/>
      <c r="J57" s="17"/>
      <c r="K57" s="145"/>
    </row>
    <row r="58" spans="1:11">
      <c r="A58" s="122"/>
      <c r="B58" s="146" t="s">
        <v>72</v>
      </c>
      <c r="C58" s="147">
        <f>IF(C60&gt;0,C57/C60,0)</f>
        <v>0</v>
      </c>
      <c r="D58" s="147">
        <f>IF(D60&gt;0,D57/D60,0)</f>
        <v>0</v>
      </c>
      <c r="E58" s="139" t="s">
        <v>29</v>
      </c>
      <c r="F58" s="17"/>
      <c r="G58" s="17"/>
      <c r="H58" s="17"/>
      <c r="I58" s="17"/>
      <c r="J58" s="17"/>
      <c r="K58" s="147">
        <f>IF(K60&gt;0,K57/K60,0)</f>
        <v>0</v>
      </c>
    </row>
    <row r="59" spans="1:11" hidden="1">
      <c r="A59" s="131"/>
      <c r="B59" s="77" t="s">
        <v>24</v>
      </c>
      <c r="C59" s="78"/>
      <c r="D59" s="79">
        <v>0</v>
      </c>
      <c r="E59" s="148"/>
      <c r="F59" s="17"/>
      <c r="G59" s="17"/>
      <c r="H59" s="17"/>
      <c r="I59" s="17"/>
      <c r="J59" s="17"/>
      <c r="K59" s="79">
        <v>0</v>
      </c>
    </row>
    <row r="60" spans="1:11" ht="21">
      <c r="A60" s="149"/>
      <c r="B60" s="80" t="s">
        <v>12</v>
      </c>
      <c r="C60" s="81">
        <f>C56+C57</f>
        <v>0</v>
      </c>
      <c r="D60" s="81">
        <f>D56+D57</f>
        <v>0</v>
      </c>
      <c r="E60" s="150" t="s">
        <v>29</v>
      </c>
      <c r="F60" s="17"/>
      <c r="G60" s="17"/>
      <c r="H60" s="17"/>
      <c r="I60" s="17"/>
      <c r="J60" s="17"/>
      <c r="K60" s="81">
        <f>K56+K57</f>
        <v>0</v>
      </c>
    </row>
    <row r="61" spans="1:11" ht="6.75" customHeight="1">
      <c r="A61" s="82"/>
      <c r="B61" s="83"/>
      <c r="C61" s="84"/>
      <c r="D61" s="84"/>
      <c r="E61" s="84"/>
    </row>
    <row r="62" spans="1:11">
      <c r="A62" s="82"/>
      <c r="B62" s="195" t="str">
        <f>IF(F71+F72+F73&gt;0,"Formulář změn není úplně a správně vyplněný - viz. tabulka na řádcích 71-74",IF(F60=F12&gt;0,"",""))</f>
        <v/>
      </c>
      <c r="C62" s="196"/>
      <c r="D62" s="84"/>
      <c r="E62" s="84"/>
    </row>
    <row r="63" spans="1:11" ht="5.25" customHeight="1">
      <c r="A63" s="82"/>
      <c r="B63" s="197"/>
      <c r="C63" s="196"/>
      <c r="D63" s="84"/>
      <c r="E63" s="84"/>
    </row>
    <row r="64" spans="1:11">
      <c r="A64" s="82"/>
      <c r="B64" s="197"/>
      <c r="C64" s="196" t="e">
        <f>VLOOKUP(CONCATENATE("MIZPP",'Projekt a žadatel'!C4,'Projekt a žadatel'!C7,'Projekt a žadatel'!C3),DB_rozpočtů!A$3:CS$25,17,FALSE)</f>
        <v>#N/A</v>
      </c>
      <c r="D64" s="84"/>
      <c r="E64" s="84"/>
    </row>
    <row r="65" spans="1:6">
      <c r="A65" s="82"/>
      <c r="B65" s="197" t="str">
        <f>IF(F83&gt;0,"Datum, podpis ","Formulář  vložte k žádosti o změnu v GRANTYS")</f>
        <v>Formulář  vložte k žádosti o změnu v GRANTYS</v>
      </c>
      <c r="C65" s="196"/>
      <c r="D65" s="84"/>
      <c r="E65" s="84"/>
    </row>
    <row r="66" spans="1:6">
      <c r="A66" s="82"/>
      <c r="B66" s="85"/>
      <c r="C66" s="84"/>
      <c r="D66" s="84"/>
      <c r="E66" s="84"/>
    </row>
    <row r="67" spans="1:6" hidden="1">
      <c r="A67" s="86" t="s">
        <v>121</v>
      </c>
      <c r="B67" s="126"/>
      <c r="C67" s="87" t="s">
        <v>122</v>
      </c>
      <c r="D67" s="88"/>
      <c r="E67" s="84"/>
    </row>
    <row r="68" spans="1:6">
      <c r="A68" s="127" t="s">
        <v>180</v>
      </c>
      <c r="E68" s="1"/>
    </row>
    <row r="69" spans="1:6">
      <c r="A69" s="20"/>
      <c r="E69" s="1"/>
    </row>
    <row r="70" spans="1:6">
      <c r="B70" s="93" t="s">
        <v>84</v>
      </c>
      <c r="C70" s="84" t="s">
        <v>252</v>
      </c>
      <c r="D70" s="84"/>
      <c r="E70" s="84"/>
    </row>
    <row r="71" spans="1:6">
      <c r="B71" s="94" t="s">
        <v>85</v>
      </c>
      <c r="C71" s="198" t="str">
        <f>IF(C60=D60,"ANO","NE")</f>
        <v>ANO</v>
      </c>
      <c r="D71" s="199" t="str">
        <f>IF(C71="NE","Původní a změněný rozpočet musí mít stejnou výši","OK")</f>
        <v>OK</v>
      </c>
      <c r="E71" s="200"/>
      <c r="F71" s="1">
        <f>IF(D71&lt;&gt;"OK",1,0)</f>
        <v>0</v>
      </c>
    </row>
    <row r="72" spans="1:6" ht="30">
      <c r="B72" s="95" t="s">
        <v>749</v>
      </c>
      <c r="C72" s="198" t="str">
        <f>IF(D58&lt;=0.2,"ANO","NE")</f>
        <v>ANO</v>
      </c>
      <c r="D72" s="199" t="str">
        <f>IF(C72="NE","Maximální podíl režie je 23 % celkových nákladů","OK")</f>
        <v>OK</v>
      </c>
      <c r="E72" s="200"/>
      <c r="F72" s="1">
        <f>IF(D72&lt;&gt;"OK",1,0)</f>
        <v>0</v>
      </c>
    </row>
    <row r="73" spans="1:6">
      <c r="B73" s="95" t="s">
        <v>86</v>
      </c>
      <c r="C73" s="198" t="str">
        <f>IF(F12=0,"ANO","NE")</f>
        <v>ANO</v>
      </c>
      <c r="D73" s="199" t="str">
        <f>IF(C73="NE",CONCATENATE(F12," ",G12," rozpočtu bez zdůvodnění změny"),"OK")</f>
        <v>OK</v>
      </c>
      <c r="E73" s="200"/>
      <c r="F73" s="1">
        <f>IF(D73&lt;&gt;"OK",1,0)</f>
        <v>0</v>
      </c>
    </row>
    <row r="74" spans="1:6" ht="31.5" customHeight="1">
      <c r="B74" s="151" t="str">
        <f>IF(C3="ANO","Rozpočet dle změnového rozhodnutí","---")</f>
        <v>Rozpočet dle změnového rozhodnutí</v>
      </c>
      <c r="C74" s="201" t="e">
        <f>IF(C3="NE","---",IF(AND(C3="ANO",K60&lt;&gt;VLOOKUP(CONCATENATE("MIZPP",'Projekt a žadatel'!C4,'Projekt a žadatel'!C7,'Projekt a žadatel'!C3),DB_rozpočtů!A3:CT25,67,FALSE)),"NE","ANO"))</f>
        <v>#N/A</v>
      </c>
      <c r="D74" s="220" t="e">
        <f>IF(C3="ANO",IF(C74="NE","Nesprávně vyplěný rozpočet ve smyslu změnového rozhodnutí. Úhrn rozpočtu změnového rozhodnutí musí být stejný jako původní rozpočet","OK"),"---")</f>
        <v>#N/A</v>
      </c>
      <c r="E74" s="220"/>
    </row>
    <row r="75" spans="1:6" ht="18.75" customHeight="1">
      <c r="B75" s="83"/>
      <c r="C75" s="196"/>
      <c r="D75" s="196"/>
      <c r="E75" s="196"/>
    </row>
    <row r="76" spans="1:6">
      <c r="B76" s="96" t="s">
        <v>83</v>
      </c>
      <c r="C76" s="196"/>
      <c r="D76" s="196"/>
      <c r="E76" s="196"/>
    </row>
    <row r="77" spans="1:6">
      <c r="B77" s="94" t="s">
        <v>76</v>
      </c>
      <c r="C77" s="198" t="str">
        <f>IF(AND(C12=0,D12&gt;0),"Podstatná změna",IF(D12=C12,"Žádná změna kapitoly",IF(D12/C12&gt;1.15,"Podstatná změna",IF(D12/C12&lt;=1.15,"Nepodstatná změna"))))</f>
        <v>Žádná změna kapitoly</v>
      </c>
      <c r="D77" s="196"/>
      <c r="E77" s="196"/>
      <c r="F77" s="1">
        <f t="shared" ref="F77:F82" si="2">IF(C77="Podstatná změna",1,0)</f>
        <v>0</v>
      </c>
    </row>
    <row r="78" spans="1:6">
      <c r="B78" s="94" t="s">
        <v>13</v>
      </c>
      <c r="C78" s="198" t="str">
        <f>IF(AND(C16=0,D16&gt;0),"Podstatná změna",IF(D16=C16,"Žádná změna kapitoly",IF(D16/C16&gt;1.15,"Podstatná změna",IF(D16/C16&lt;=1.15,"Nepodstatná změna"))))</f>
        <v>Žádná změna kapitoly</v>
      </c>
      <c r="D78" s="196"/>
      <c r="E78" s="196"/>
      <c r="F78" s="1">
        <f t="shared" si="2"/>
        <v>0</v>
      </c>
    </row>
    <row r="79" spans="1:6">
      <c r="B79" s="94" t="s">
        <v>77</v>
      </c>
      <c r="C79" s="198" t="str">
        <f>IF(AND(C19=0,D19&gt;0),"Podstatná změna",IF(D19=C19,"Žádná změna kapitoly",IF(D19/C19&gt;1.15,"Podstatná změna",IF(D19/C19&lt;=1.15,"Nepodstatná změna"))))</f>
        <v>Žádná změna kapitoly</v>
      </c>
      <c r="D79" s="196"/>
      <c r="E79" s="196"/>
      <c r="F79" s="1">
        <f t="shared" si="2"/>
        <v>0</v>
      </c>
    </row>
    <row r="80" spans="1:6">
      <c r="B80" s="94" t="s">
        <v>718</v>
      </c>
      <c r="C80" s="198" t="str">
        <f>IF(AND(C23=0,D23&gt;0),"Podstatná změna",IF(D23=C23,"Žádná změna kapitoly",IF(D23/C23&gt;1.15,"Podstatná změna",IF(D23/C23&lt;=1.15,"Nepodstatná změna"))))</f>
        <v>Žádná změna kapitoly</v>
      </c>
      <c r="D80" s="196"/>
      <c r="E80" s="196"/>
      <c r="F80" s="1">
        <f t="shared" si="2"/>
        <v>0</v>
      </c>
    </row>
    <row r="81" spans="2:6">
      <c r="B81" s="94" t="s">
        <v>78</v>
      </c>
      <c r="C81" s="198" t="str">
        <f>IF(AND(C33=0,D33&gt;0),"Podstatná změna",IF(D33=C33,"Žádná změna kapitoly",IF(D33/C33&gt;1.15,"Podstatná změna",IF(D33/C33&lt;=1.15,"Nepodstatná změna"))))</f>
        <v>Žádná změna kapitoly</v>
      </c>
      <c r="D81" s="196"/>
      <c r="E81" s="196"/>
      <c r="F81" s="1">
        <f t="shared" si="2"/>
        <v>0</v>
      </c>
    </row>
    <row r="82" spans="2:6">
      <c r="B82" s="94" t="s">
        <v>82</v>
      </c>
      <c r="C82" s="198" t="str">
        <f>IF(AND(C57=0,D57&gt;0),"Podstatná změna",IF(D57=C57,"Žádná změna kapitoly",IF(D57/C57&gt;1.15,"Podstatná změna",IF(D57/C57&lt;=1.15,"Nepodstatná změna"))))</f>
        <v>Žádná změna kapitoly</v>
      </c>
      <c r="D82" s="196"/>
      <c r="E82" s="196"/>
      <c r="F82" s="1">
        <f t="shared" si="2"/>
        <v>0</v>
      </c>
    </row>
    <row r="83" spans="2:6">
      <c r="B83" s="83"/>
      <c r="C83" s="196"/>
      <c r="D83" s="196"/>
      <c r="E83" s="196"/>
      <c r="F83" s="1">
        <f>SUM(F77:F82)</f>
        <v>0</v>
      </c>
    </row>
    <row r="84" spans="2:6">
      <c r="B84" s="83"/>
      <c r="C84" s="196"/>
      <c r="D84" s="196"/>
      <c r="E84" s="196"/>
    </row>
    <row r="85" spans="2:6">
      <c r="B85" s="83"/>
      <c r="C85" s="196"/>
      <c r="D85" s="196"/>
      <c r="E85" s="202"/>
    </row>
  </sheetData>
  <sheetProtection algorithmName="SHA-512" hashValue="/gym8KJYe+2W7o3X2Jxx21J9UvDBEEzB8hKxPhTNbWa9KxQtdzvUhSCCh56TMB8LY5Ng3/E042Zch02Y/Tox4A==" saltValue="mSZp3E+xyfHoHBfonBOspQ==" spinCount="100000" sheet="1" formatCells="0" formatColumns="0"/>
  <mergeCells count="4">
    <mergeCell ref="B10:E10"/>
    <mergeCell ref="C4:E4"/>
    <mergeCell ref="C5:E5"/>
    <mergeCell ref="D74:E74"/>
  </mergeCells>
  <phoneticPr fontId="0" type="noConversion"/>
  <conditionalFormatting sqref="A42:B44">
    <cfRule type="expression" dxfId="37" priority="11" stopIfTrue="1">
      <formula>$F$11="NE"</formula>
    </cfRule>
  </conditionalFormatting>
  <conditionalFormatting sqref="A8:E14">
    <cfRule type="expression" dxfId="36" priority="9" stopIfTrue="1">
      <formula>$F$11="NE"</formula>
    </cfRule>
  </conditionalFormatting>
  <conditionalFormatting sqref="A15:E22">
    <cfRule type="expression" dxfId="35" priority="27" stopIfTrue="1">
      <formula>$F$11="NE"</formula>
    </cfRule>
  </conditionalFormatting>
  <conditionalFormatting sqref="A23:E39">
    <cfRule type="expression" dxfId="34" priority="6" stopIfTrue="1">
      <formula>$F$11="NE"</formula>
    </cfRule>
  </conditionalFormatting>
  <conditionalFormatting sqref="C58">
    <cfRule type="cellIs" dxfId="33" priority="13" stopIfTrue="1" operator="greaterThan">
      <formula>0.2</formula>
    </cfRule>
  </conditionalFormatting>
  <conditionalFormatting sqref="C58:D58">
    <cfRule type="cellIs" dxfId="32" priority="38" stopIfTrue="1" operator="greaterThan">
      <formula>0.2</formula>
    </cfRule>
  </conditionalFormatting>
  <conditionalFormatting sqref="D40:D43">
    <cfRule type="expression" dxfId="31" priority="25" stopIfTrue="1">
      <formula>$F$11="NE"</formula>
    </cfRule>
  </conditionalFormatting>
  <conditionalFormatting sqref="D67">
    <cfRule type="expression" dxfId="30" priority="20" stopIfTrue="1">
      <formula>$E$11="NE"</formula>
    </cfRule>
  </conditionalFormatting>
  <conditionalFormatting sqref="E13:E14">
    <cfRule type="expression" dxfId="29" priority="10" stopIfTrue="1">
      <formula>AND(C13&lt;&gt;D13,E13="")</formula>
    </cfRule>
  </conditionalFormatting>
  <conditionalFormatting sqref="E15">
    <cfRule type="expression" dxfId="28" priority="28" stopIfTrue="1">
      <formula>AND(C15&lt;&gt;D15,E15="")</formula>
    </cfRule>
  </conditionalFormatting>
  <conditionalFormatting sqref="E17:E18">
    <cfRule type="expression" dxfId="27" priority="35" stopIfTrue="1">
      <formula>AND(C17&lt;&gt;D17,E17="")</formula>
    </cfRule>
  </conditionalFormatting>
  <conditionalFormatting sqref="E20:E22">
    <cfRule type="expression" dxfId="26" priority="24" stopIfTrue="1">
      <formula>AND(C20&lt;&gt;D20,E20="")</formula>
    </cfRule>
  </conditionalFormatting>
  <conditionalFormatting sqref="E24:E32">
    <cfRule type="expression" dxfId="25" priority="34" stopIfTrue="1">
      <formula>AND(C24&lt;&gt;D24,E24="")</formula>
    </cfRule>
  </conditionalFormatting>
  <conditionalFormatting sqref="E34:E38">
    <cfRule type="expression" dxfId="24" priority="32" stopIfTrue="1">
      <formula>AND(C34&lt;&gt;D34,E34="")</formula>
    </cfRule>
  </conditionalFormatting>
  <conditionalFormatting sqref="E39">
    <cfRule type="expression" dxfId="23" priority="5" stopIfTrue="1">
      <formula>AND(C39&lt;&gt;D39,E39="")</formula>
    </cfRule>
  </conditionalFormatting>
  <conditionalFormatting sqref="E40:E55">
    <cfRule type="expression" dxfId="22" priority="31" stopIfTrue="1">
      <formula>AND(C40&lt;&gt;D40,E40="")</formula>
    </cfRule>
  </conditionalFormatting>
  <conditionalFormatting sqref="E57">
    <cfRule type="expression" dxfId="21" priority="30" stopIfTrue="1">
      <formula>AND(C57&lt;&gt;D57,E57="")</formula>
    </cfRule>
  </conditionalFormatting>
  <conditionalFormatting sqref="K11:K18 K20:K43">
    <cfRule type="expression" dxfId="20" priority="4" stopIfTrue="1">
      <formula>$F$11="NE"</formula>
    </cfRule>
  </conditionalFormatting>
  <conditionalFormatting sqref="K19">
    <cfRule type="expression" dxfId="18" priority="1" stopIfTrue="1">
      <formula>$F$11="NE"</formula>
    </cfRule>
  </conditionalFormatting>
  <conditionalFormatting sqref="K44:K60 A45:D66 A40:C41 E40:E73 C41:C43 C44:D44 A67:C67 A68:D83 E75:E83">
    <cfRule type="expression" dxfId="17" priority="29" stopIfTrue="1">
      <formula>$F$11="NE"</formula>
    </cfRule>
  </conditionalFormatting>
  <conditionalFormatting sqref="K58">
    <cfRule type="cellIs" dxfId="16" priority="19" stopIfTrue="1" operator="greaterThan">
      <formula>0.2</formula>
    </cfRule>
  </conditionalFormatting>
  <pageMargins left="0.39370078740157483" right="0.27559055118110237" top="0.49" bottom="0.39370078740157483" header="0.38" footer="0.51181102362204722"/>
  <pageSetup paperSize="9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24546374-F883-4B8F-B9B8-068C072EA226}">
            <xm:f>'Projekt a žadatel'!$E$23="NE"</xm:f>
            <x14:dxf>
              <font>
                <strike val="0"/>
                <color theme="0"/>
              </font>
              <fill>
                <patternFill>
                  <bgColor theme="0"/>
                </patternFill>
              </fill>
              <border>
                <left style="thin">
                  <color auto="1"/>
                </left>
                <right/>
                <top/>
                <bottom/>
                <vertical/>
                <horizontal/>
              </border>
            </x14:dxf>
          </x14:cfRule>
          <xm:sqref>K11:K18 K20:K60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/>
  <dimension ref="A1:F46"/>
  <sheetViews>
    <sheetView showGridLines="0" topLeftCell="A22" zoomScale="110" zoomScaleNormal="110" workbookViewId="0">
      <selection activeCell="C22" sqref="C22"/>
    </sheetView>
  </sheetViews>
  <sheetFormatPr defaultColWidth="9.33203125" defaultRowHeight="12.75"/>
  <cols>
    <col min="1" max="1" width="22" style="16" customWidth="1"/>
    <col min="2" max="2" width="11" style="16" customWidth="1"/>
    <col min="3" max="3" width="25.6640625" style="16" customWidth="1"/>
    <col min="4" max="4" width="27.6640625" style="16" customWidth="1"/>
    <col min="5" max="5" width="8.83203125" style="16" customWidth="1"/>
    <col min="6" max="6" width="0" style="16" hidden="1" customWidth="1"/>
    <col min="7" max="16384" width="9.33203125" style="16"/>
  </cols>
  <sheetData>
    <row r="1" spans="1:6" ht="22.5">
      <c r="A1" s="97" t="s">
        <v>80</v>
      </c>
      <c r="B1" s="13"/>
      <c r="C1" s="14"/>
      <c r="D1" s="15"/>
      <c r="E1" s="9"/>
      <c r="F1" s="16" t="str">
        <f>+'Projekt a žadatel'!D24</f>
        <v>ANO</v>
      </c>
    </row>
    <row r="2" spans="1:6" ht="22.5">
      <c r="A2" s="19" t="str">
        <f>IF('Projekt a žadatel'!D24="NE","Na úvodním listu je uvedeno, že o navýšení podílu dotace nežádáte. Tento list proto není třeba vyplňovat","")</f>
        <v/>
      </c>
      <c r="B2" s="13"/>
      <c r="C2" s="14"/>
      <c r="D2" s="15"/>
      <c r="E2" s="9"/>
    </row>
    <row r="3" spans="1:6" ht="22.5">
      <c r="A3" s="57" t="s">
        <v>30</v>
      </c>
      <c r="B3" s="13"/>
      <c r="C3" s="100" t="str">
        <f>+'Žádost o změnu rozpočtu'!C2</f>
        <v>/32/26</v>
      </c>
      <c r="D3" s="101"/>
      <c r="E3" s="102"/>
    </row>
    <row r="4" spans="1:6" ht="41.25" customHeight="1">
      <c r="A4" s="57" t="s">
        <v>3</v>
      </c>
      <c r="B4" s="13"/>
      <c r="C4" s="221" t="str">
        <f>+'Žádost o změnu rozpočtu'!C4:E4</f>
        <v/>
      </c>
      <c r="D4" s="221"/>
      <c r="E4" s="221"/>
    </row>
    <row r="5" spans="1:6" ht="39.75" customHeight="1">
      <c r="A5" s="57" t="s">
        <v>31</v>
      </c>
      <c r="B5" s="13"/>
      <c r="C5" s="221" t="str">
        <f>+'Žádost o změnu rozpočtu'!C5:E5</f>
        <v/>
      </c>
      <c r="D5" s="221"/>
      <c r="E5" s="221"/>
    </row>
    <row r="6" spans="1:6" ht="22.5">
      <c r="A6" s="57" t="s">
        <v>32</v>
      </c>
      <c r="B6" s="13"/>
      <c r="C6" s="103" t="str">
        <f>CONCATENATE('Žádost o změnu rozpočtu'!C6)</f>
        <v/>
      </c>
      <c r="D6" s="104"/>
      <c r="E6" s="104"/>
    </row>
    <row r="7" spans="1:6">
      <c r="A7" s="65"/>
      <c r="C7" s="65"/>
      <c r="D7" s="65"/>
      <c r="E7" s="65"/>
    </row>
    <row r="8" spans="1:6">
      <c r="A8" s="98" t="str">
        <f>IF('Projekt a žadatel'!C5="","Formulář nelze vyplnit - nebyl načten rozpočet! Zadejte správné číslo projektu a IČ na listu Projekt a žadatel.","")</f>
        <v>Formulář nelze vyplnit - nebyl načten rozpočet! Zadejte správné číslo projektu a IČ na listu Projekt a žadatel.</v>
      </c>
      <c r="C8" s="65"/>
      <c r="D8" s="65"/>
      <c r="E8" s="65"/>
    </row>
    <row r="9" spans="1:6" ht="15.75">
      <c r="A9" s="57" t="s">
        <v>87</v>
      </c>
      <c r="C9" s="65"/>
      <c r="D9" s="65"/>
      <c r="E9" s="65"/>
    </row>
    <row r="10" spans="1:6">
      <c r="A10" s="65"/>
      <c r="C10" s="65"/>
      <c r="D10" s="65"/>
      <c r="E10" s="65"/>
    </row>
    <row r="11" spans="1:6" ht="15.75">
      <c r="A11" s="57" t="s">
        <v>35</v>
      </c>
      <c r="C11" s="65"/>
      <c r="D11" s="65"/>
      <c r="E11" s="65"/>
    </row>
    <row r="12" spans="1:6" ht="15.75">
      <c r="A12" s="57"/>
      <c r="C12" s="65"/>
      <c r="D12" s="65"/>
      <c r="E12" s="65"/>
    </row>
    <row r="13" spans="1:6" ht="15.75">
      <c r="A13" s="99" t="s">
        <v>34</v>
      </c>
      <c r="C13" s="105" t="e">
        <f>VLOOKUP(CONCATENATE("MIZPP",'Projekt a žadatel'!C4,'Projekt a žadatel'!C7,'Projekt a žadatel'!C3),DB_rozpočtů!A3:CT25,71,FALSE)</f>
        <v>#N/A</v>
      </c>
      <c r="D13" s="65"/>
      <c r="E13" s="65"/>
    </row>
    <row r="14" spans="1:6" ht="15.75">
      <c r="A14" s="99" t="s">
        <v>36</v>
      </c>
      <c r="C14" s="105" t="e">
        <f>VLOOKUP(CONCATENATE("MIZPP",'Projekt a žadatel'!C4,'Projekt a žadatel'!C7,'Projekt a žadatel'!C3),DB_rozpočtů!A3:CT25,72,FALSE)</f>
        <v>#N/A</v>
      </c>
      <c r="D14" s="65"/>
      <c r="E14" s="65"/>
    </row>
    <row r="15" spans="1:6" ht="15.75">
      <c r="A15" s="99" t="s">
        <v>37</v>
      </c>
      <c r="C15" s="105" t="e">
        <f>+C14+C13</f>
        <v>#N/A</v>
      </c>
      <c r="D15" s="65"/>
      <c r="E15" s="65"/>
    </row>
    <row r="16" spans="1:6" ht="15.75">
      <c r="A16" s="99" t="s">
        <v>38</v>
      </c>
      <c r="C16" s="106" t="e">
        <f>IF(C15&lt;&gt;0,C13/C15,0)</f>
        <v>#N/A</v>
      </c>
      <c r="D16" s="65"/>
      <c r="E16" s="65"/>
    </row>
    <row r="17" spans="1:5">
      <c r="A17" s="65"/>
      <c r="C17" s="65"/>
      <c r="D17" s="65"/>
      <c r="E17" s="65"/>
    </row>
    <row r="18" spans="1:5">
      <c r="A18" s="65"/>
      <c r="C18" s="65"/>
      <c r="D18" s="65"/>
      <c r="E18" s="65"/>
    </row>
    <row r="19" spans="1:5" ht="15.75">
      <c r="A19" s="57" t="s">
        <v>39</v>
      </c>
      <c r="C19" s="65"/>
      <c r="D19" s="121"/>
      <c r="E19" s="65"/>
    </row>
    <row r="20" spans="1:5">
      <c r="A20" s="65"/>
      <c r="C20" s="65"/>
      <c r="D20" s="65"/>
      <c r="E20" s="65"/>
    </row>
    <row r="21" spans="1:5" ht="15.75">
      <c r="A21" s="99" t="s">
        <v>34</v>
      </c>
      <c r="C21" s="105" t="e">
        <f>+C13</f>
        <v>#N/A</v>
      </c>
      <c r="D21" s="65"/>
      <c r="E21" s="65"/>
    </row>
    <row r="22" spans="1:5" ht="15.75">
      <c r="A22" s="99" t="s">
        <v>36</v>
      </c>
      <c r="C22" s="107">
        <v>0</v>
      </c>
      <c r="D22" s="65"/>
      <c r="E22" s="65"/>
    </row>
    <row r="23" spans="1:5" ht="15.75">
      <c r="A23" s="99" t="s">
        <v>37</v>
      </c>
      <c r="C23" s="105" t="e">
        <f>+C22+C21</f>
        <v>#N/A</v>
      </c>
      <c r="D23" s="65"/>
      <c r="E23" s="65"/>
    </row>
    <row r="24" spans="1:5" ht="15.75">
      <c r="A24" s="99" t="s">
        <v>38</v>
      </c>
      <c r="C24" s="106" t="e">
        <f>IF(C23&lt;&gt;0,C21/C23,0)</f>
        <v>#N/A</v>
      </c>
      <c r="D24" s="108" t="e">
        <f>IF(C24&gt;0.7,"Max. podíl dotace může být 70%!","")</f>
        <v>#N/A</v>
      </c>
      <c r="E24" s="65"/>
    </row>
    <row r="25" spans="1:5">
      <c r="A25" s="65"/>
    </row>
    <row r="26" spans="1:5" ht="15.75">
      <c r="A26" s="57" t="s">
        <v>81</v>
      </c>
    </row>
    <row r="27" spans="1:5">
      <c r="A27" s="222"/>
      <c r="B27" s="223"/>
      <c r="C27" s="223"/>
      <c r="D27" s="224"/>
    </row>
    <row r="28" spans="1:5">
      <c r="A28" s="225"/>
      <c r="B28" s="226"/>
      <c r="C28" s="226"/>
      <c r="D28" s="227"/>
    </row>
    <row r="29" spans="1:5">
      <c r="A29" s="225"/>
      <c r="B29" s="226"/>
      <c r="C29" s="226"/>
      <c r="D29" s="227"/>
    </row>
    <row r="30" spans="1:5">
      <c r="A30" s="225"/>
      <c r="B30" s="226"/>
      <c r="C30" s="226"/>
      <c r="D30" s="227"/>
    </row>
    <row r="31" spans="1:5">
      <c r="A31" s="225"/>
      <c r="B31" s="226"/>
      <c r="C31" s="226"/>
      <c r="D31" s="227"/>
    </row>
    <row r="32" spans="1:5">
      <c r="A32" s="225"/>
      <c r="B32" s="226"/>
      <c r="C32" s="226"/>
      <c r="D32" s="227"/>
    </row>
    <row r="33" spans="1:4">
      <c r="A33" s="225"/>
      <c r="B33" s="226"/>
      <c r="C33" s="226"/>
      <c r="D33" s="227"/>
    </row>
    <row r="34" spans="1:4">
      <c r="A34" s="225"/>
      <c r="B34" s="226"/>
      <c r="C34" s="226"/>
      <c r="D34" s="227"/>
    </row>
    <row r="35" spans="1:4">
      <c r="A35" s="225"/>
      <c r="B35" s="226"/>
      <c r="C35" s="226"/>
      <c r="D35" s="227"/>
    </row>
    <row r="36" spans="1:4">
      <c r="A36" s="225"/>
      <c r="B36" s="226"/>
      <c r="C36" s="226"/>
      <c r="D36" s="227"/>
    </row>
    <row r="37" spans="1:4">
      <c r="A37" s="225"/>
      <c r="B37" s="226"/>
      <c r="C37" s="226"/>
      <c r="D37" s="227"/>
    </row>
    <row r="38" spans="1:4">
      <c r="A38" s="228"/>
      <c r="B38" s="229"/>
      <c r="C38" s="229"/>
      <c r="D38" s="230"/>
    </row>
    <row r="39" spans="1:4">
      <c r="A39" s="65"/>
      <c r="B39" s="65"/>
      <c r="C39" s="65"/>
      <c r="D39" s="65"/>
    </row>
    <row r="40" spans="1:4">
      <c r="A40" s="98" t="e">
        <f>IF(C24&lt;=C16,"Žádat je třeba pouze o navýšení podílu dotace. V žádané změně podíl navýšen není","")</f>
        <v>#N/A</v>
      </c>
      <c r="B40" s="65"/>
      <c r="C40" s="65"/>
      <c r="D40" s="65"/>
    </row>
    <row r="41" spans="1:4">
      <c r="A41" s="109" t="s">
        <v>40</v>
      </c>
      <c r="B41" s="231" t="e">
        <f>VLOOKUP(CONCATENATE("MIZPP",'Projekt a žadatel'!C4,'Projekt a žadatel'!C7,'Projekt a žadatel'!C3),DB_rozpočtů!A$3:CS$25,17,FALSE)</f>
        <v>#N/A</v>
      </c>
      <c r="C41" s="231"/>
      <c r="D41" s="231"/>
    </row>
    <row r="42" spans="1:4">
      <c r="A42" s="65"/>
      <c r="B42" s="65"/>
      <c r="C42" s="65"/>
      <c r="D42" s="65"/>
    </row>
    <row r="43" spans="1:4" hidden="1">
      <c r="A43" s="65" t="s">
        <v>121</v>
      </c>
      <c r="B43" s="65"/>
      <c r="C43" s="65"/>
      <c r="D43" s="65" t="s">
        <v>122</v>
      </c>
    </row>
    <row r="44" spans="1:4" ht="16.5" hidden="1" customHeight="1">
      <c r="A44" s="226"/>
      <c r="B44" s="226"/>
      <c r="C44" s="110"/>
      <c r="D44" s="88"/>
    </row>
    <row r="46" spans="1:4">
      <c r="A46" s="109" t="s">
        <v>179</v>
      </c>
    </row>
  </sheetData>
  <sheetProtection algorithmName="SHA-512" hashValue="9fV47Kqp/xnyDbN+oPARpH/rpS397VDLgizaXMs02j+J1ScxcoS1nGBxepq83HhxYimkXeHbsyhvtBkrYM6GvA==" saltValue="pw4eIxKtWv3dJFwUorT0WA==" spinCount="100000" sheet="1" formatCells="0" selectLockedCells="1"/>
  <mergeCells count="5">
    <mergeCell ref="C4:E4"/>
    <mergeCell ref="C5:E5"/>
    <mergeCell ref="A27:D38"/>
    <mergeCell ref="B41:D41"/>
    <mergeCell ref="A44:B44"/>
  </mergeCells>
  <conditionalFormatting sqref="A44 C44">
    <cfRule type="expression" dxfId="15" priority="3" stopIfTrue="1">
      <formula>$E$10="NE"</formula>
    </cfRule>
  </conditionalFormatting>
  <conditionalFormatting sqref="A9:E43 E44 A45:E46">
    <cfRule type="expression" dxfId="14" priority="4" stopIfTrue="1">
      <formula>$F$1="NE"</formula>
    </cfRule>
  </conditionalFormatting>
  <conditionalFormatting sqref="D44">
    <cfRule type="expression" dxfId="13" priority="1" stopIfTrue="1">
      <formula>$E$11="NE"</formula>
    </cfRule>
  </conditionalFormatting>
  <pageMargins left="0.28000000000000003" right="0.25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5">
    <pageSetUpPr fitToPage="1"/>
  </sheetPr>
  <dimension ref="A1:AK98"/>
  <sheetViews>
    <sheetView showGridLines="0" zoomScale="90" zoomScaleNormal="90" workbookViewId="0">
      <selection activeCell="G27" sqref="G27"/>
    </sheetView>
  </sheetViews>
  <sheetFormatPr defaultColWidth="9.33203125" defaultRowHeight="15"/>
  <cols>
    <col min="1" max="1" width="10" style="5" customWidth="1"/>
    <col min="2" max="2" width="31.1640625" style="3" customWidth="1"/>
    <col min="3" max="3" width="19.33203125" style="1" customWidth="1"/>
    <col min="4" max="4" width="41.5" style="1" customWidth="1"/>
    <col min="5" max="5" width="30.33203125" style="1" customWidth="1"/>
    <col min="6" max="6" width="46.1640625" style="1" customWidth="1"/>
    <col min="7" max="7" width="64.6640625" style="1" customWidth="1"/>
    <col min="8" max="8" width="9.33203125" style="1" hidden="1" customWidth="1"/>
    <col min="9" max="9" width="37.33203125" style="1" hidden="1" customWidth="1"/>
    <col min="10" max="21" width="9.33203125" style="1"/>
    <col min="22" max="22" width="35" style="1" hidden="1" customWidth="1"/>
    <col min="23" max="23" width="28.33203125" style="1" hidden="1" customWidth="1"/>
    <col min="24" max="25" width="17.6640625" style="1" hidden="1" customWidth="1"/>
    <col min="26" max="29" width="9.33203125" style="1"/>
    <col min="30" max="30" width="0" style="1" hidden="1" customWidth="1"/>
    <col min="31" max="16384" width="9.33203125" style="1"/>
  </cols>
  <sheetData>
    <row r="1" spans="1:37" ht="63.75" customHeight="1" thickBot="1">
      <c r="A1" s="119" t="s">
        <v>123</v>
      </c>
      <c r="B1" s="33"/>
      <c r="C1" s="34"/>
      <c r="D1" s="35"/>
      <c r="E1" s="241" t="s">
        <v>359</v>
      </c>
      <c r="F1" s="241"/>
      <c r="G1" s="241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194" t="s">
        <v>720</v>
      </c>
      <c r="W1" s="194" t="s">
        <v>739</v>
      </c>
      <c r="X1" s="194" t="s">
        <v>98</v>
      </c>
      <c r="AD1" s="1" t="s">
        <v>136</v>
      </c>
      <c r="AJ1" s="242"/>
      <c r="AK1" s="242"/>
    </row>
    <row r="2" spans="1:37" ht="23.25" thickBot="1">
      <c r="A2" s="50" t="s">
        <v>30</v>
      </c>
      <c r="B2" s="51"/>
      <c r="C2" s="118" t="str">
        <f>CONCATENATE('Projekt a žadatel'!C4,'Projekt a žadatel'!D4)</f>
        <v>/32/26</v>
      </c>
      <c r="D2" s="118"/>
      <c r="E2" s="241"/>
      <c r="F2" s="241"/>
      <c r="G2" s="24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94" t="s">
        <v>349</v>
      </c>
      <c r="W2" s="194" t="s">
        <v>331</v>
      </c>
      <c r="X2" s="194" t="s">
        <v>94</v>
      </c>
      <c r="AD2" s="1" t="s">
        <v>137</v>
      </c>
      <c r="AJ2" s="48"/>
      <c r="AK2"/>
    </row>
    <row r="3" spans="1:37" ht="32.25" customHeight="1" thickBot="1">
      <c r="A3" s="50" t="s">
        <v>3</v>
      </c>
      <c r="B3" s="51"/>
      <c r="C3" s="236" t="str">
        <f>+'Projekt a žadatel'!C5:E5</f>
        <v/>
      </c>
      <c r="D3" s="236"/>
      <c r="E3" s="241"/>
      <c r="F3" s="241"/>
      <c r="G3" s="241"/>
      <c r="H3" s="111"/>
      <c r="I3" s="111"/>
      <c r="J3" s="111"/>
      <c r="K3" s="233"/>
      <c r="L3" s="233"/>
      <c r="M3" s="233"/>
      <c r="N3" s="233"/>
      <c r="O3" s="233"/>
      <c r="P3" s="233"/>
      <c r="Q3" s="233"/>
      <c r="R3" s="233"/>
      <c r="S3" s="233"/>
      <c r="T3" s="111"/>
      <c r="U3" s="111"/>
      <c r="V3" s="194" t="s">
        <v>350</v>
      </c>
      <c r="W3" s="194" t="s">
        <v>332</v>
      </c>
      <c r="X3" s="194" t="s">
        <v>98</v>
      </c>
      <c r="AD3" s="1" t="s">
        <v>138</v>
      </c>
      <c r="AJ3" s="48"/>
      <c r="AK3"/>
    </row>
    <row r="4" spans="1:37" ht="44.25" customHeight="1" thickBot="1">
      <c r="A4" s="50" t="s">
        <v>31</v>
      </c>
      <c r="B4" s="51"/>
      <c r="C4" s="236" t="str">
        <f>+'Projekt a žadatel'!C6:E6</f>
        <v/>
      </c>
      <c r="D4" s="236"/>
      <c r="E4" s="241"/>
      <c r="F4" s="241"/>
      <c r="G4" s="241"/>
      <c r="H4" s="111"/>
      <c r="I4" s="111"/>
      <c r="J4" s="111"/>
      <c r="K4" s="234"/>
      <c r="L4" s="234"/>
      <c r="M4" s="234"/>
      <c r="N4" s="234"/>
      <c r="O4" s="234"/>
      <c r="P4" s="234"/>
      <c r="Q4" s="234"/>
      <c r="R4" s="234"/>
      <c r="S4" s="234"/>
      <c r="T4" s="111"/>
      <c r="U4" s="111"/>
      <c r="V4" s="194" t="s">
        <v>351</v>
      </c>
      <c r="W4" s="194" t="s">
        <v>336</v>
      </c>
      <c r="X4" s="194" t="s">
        <v>93</v>
      </c>
      <c r="AD4" s="1" t="s">
        <v>139</v>
      </c>
      <c r="AJ4" s="242"/>
      <c r="AK4" s="242"/>
    </row>
    <row r="5" spans="1:37" ht="24" customHeight="1" thickBot="1">
      <c r="A5" s="50" t="s">
        <v>32</v>
      </c>
      <c r="B5" s="51"/>
      <c r="C5" s="118" t="str">
        <f>CONCATENATE(+'Projekt a žadatel'!C7)</f>
        <v/>
      </c>
      <c r="D5" s="118"/>
      <c r="E5" s="34"/>
      <c r="F5" s="34"/>
      <c r="G5" s="166"/>
      <c r="H5" s="111"/>
      <c r="I5" s="111"/>
      <c r="J5" s="111"/>
      <c r="K5" s="234"/>
      <c r="L5" s="234"/>
      <c r="M5" s="234"/>
      <c r="N5" s="234"/>
      <c r="O5" s="234"/>
      <c r="P5" s="234"/>
      <c r="Q5" s="234"/>
      <c r="R5" s="234"/>
      <c r="S5" s="234"/>
      <c r="T5" s="111"/>
      <c r="U5" s="111"/>
      <c r="V5" s="194" t="s">
        <v>721</v>
      </c>
      <c r="W5" s="194" t="s">
        <v>740</v>
      </c>
      <c r="X5" s="194" t="s">
        <v>93</v>
      </c>
      <c r="AD5" s="1" t="s">
        <v>140</v>
      </c>
      <c r="AJ5" s="242"/>
      <c r="AK5" s="242"/>
    </row>
    <row r="6" spans="1:37" ht="39" customHeight="1" thickBot="1">
      <c r="A6" s="240" t="str">
        <f>IF('Projekt a žadatel'!D25="NE","Na úvodním listu je uvedeno, že o změnu závazných indikátorů projektu nežádáte. Tento list proto není třeba vyplňovat","Vyplňte kompletní sadu indikátorů ve smyslu požadované změny (tedy včetně indikátorů, které nechcete měnit). Pokud žádáte o zrušení některého indikátoru uveďte novou hodnotu 0. Nově navržené indikátory zapisujte na řádky označené číslem N1-N15.")</f>
        <v>Vyplňte kompletní sadu indikátorů ve smyslu požadované změny (tedy včetně indikátorů, které nechcete měnit). Pokud žádáte o zrušení některého indikátoru uveďte novou hodnotu 0. Nově navržené indikátory zapisujte na řádky označené číslem N1-N15.</v>
      </c>
      <c r="B6" s="240"/>
      <c r="C6" s="240"/>
      <c r="D6" s="240"/>
      <c r="E6" s="240"/>
      <c r="F6" s="240"/>
      <c r="G6" s="240"/>
      <c r="H6" s="111"/>
      <c r="I6" s="111"/>
      <c r="J6" s="111"/>
      <c r="K6" s="234"/>
      <c r="L6" s="234"/>
      <c r="M6" s="234"/>
      <c r="N6" s="234"/>
      <c r="O6" s="234"/>
      <c r="P6" s="234"/>
      <c r="Q6" s="234"/>
      <c r="R6" s="234"/>
      <c r="S6" s="234"/>
      <c r="T6" s="111"/>
      <c r="U6" s="111"/>
      <c r="V6" s="194" t="s">
        <v>722</v>
      </c>
      <c r="W6" s="194" t="s">
        <v>741</v>
      </c>
      <c r="X6" s="194" t="s">
        <v>93</v>
      </c>
      <c r="AD6" s="1" t="s">
        <v>141</v>
      </c>
      <c r="AJ6" s="242"/>
      <c r="AK6" s="242"/>
    </row>
    <row r="7" spans="1:37" ht="27" customHeight="1" thickBot="1">
      <c r="A7" s="120" t="s">
        <v>99</v>
      </c>
      <c r="B7" s="33"/>
      <c r="C7" s="39"/>
      <c r="D7" s="239" t="str">
        <f>IF('Projekt a žadatel'!C5="","Formulář nelze vyplnit - nebyly načteny výstupy! Zadejte správné číslo projektu a IČ na listu Projekt a žadatel.","")</f>
        <v>Formulář nelze vyplnit - nebyly načteny výstupy! Zadejte správné číslo projektu a IČ na listu Projekt a žadatel.</v>
      </c>
      <c r="E7" s="239"/>
      <c r="F7" s="239"/>
      <c r="G7" s="166"/>
      <c r="H7" s="111"/>
      <c r="I7" s="111"/>
      <c r="J7" s="111"/>
      <c r="K7" s="234"/>
      <c r="L7" s="234"/>
      <c r="M7" s="234"/>
      <c r="N7" s="234"/>
      <c r="O7" s="234"/>
      <c r="P7" s="234"/>
      <c r="Q7" s="234"/>
      <c r="R7" s="234"/>
      <c r="S7" s="234"/>
      <c r="T7" s="111"/>
      <c r="U7" s="111"/>
      <c r="V7" s="194" t="s">
        <v>723</v>
      </c>
      <c r="W7" s="194" t="s">
        <v>742</v>
      </c>
      <c r="X7" s="194" t="s">
        <v>724</v>
      </c>
      <c r="AD7" s="1" t="s">
        <v>142</v>
      </c>
      <c r="AJ7" s="242"/>
      <c r="AK7" s="242"/>
    </row>
    <row r="8" spans="1:37" ht="11.25" hidden="1" customHeight="1">
      <c r="A8" s="36"/>
      <c r="B8" s="33"/>
      <c r="C8" s="38"/>
      <c r="D8" s="37"/>
      <c r="E8" s="34"/>
      <c r="F8" s="34"/>
      <c r="G8" s="166"/>
      <c r="H8" s="111"/>
      <c r="I8" s="111"/>
      <c r="J8" s="111"/>
      <c r="K8" s="112"/>
      <c r="L8" s="112"/>
      <c r="M8" s="112"/>
      <c r="N8" s="112"/>
      <c r="O8" s="112"/>
      <c r="P8" s="112"/>
      <c r="Q8" s="112"/>
      <c r="R8" s="112"/>
      <c r="S8" s="112"/>
      <c r="T8" s="111"/>
      <c r="U8" s="111"/>
      <c r="V8" s="194" t="s">
        <v>725</v>
      </c>
      <c r="W8" s="194" t="s">
        <v>389</v>
      </c>
      <c r="X8" s="194" t="s">
        <v>134</v>
      </c>
      <c r="AD8" s="1" t="s">
        <v>143</v>
      </c>
      <c r="AJ8" s="242"/>
      <c r="AK8" s="242"/>
    </row>
    <row r="9" spans="1:37" ht="22.5" hidden="1" customHeight="1">
      <c r="A9" s="40"/>
      <c r="B9" s="237"/>
      <c r="C9" s="237"/>
      <c r="D9" s="237"/>
      <c r="E9" s="34"/>
      <c r="F9" s="34"/>
      <c r="G9" s="166"/>
      <c r="H9" s="111"/>
      <c r="I9" s="111"/>
      <c r="J9" s="111"/>
      <c r="K9" s="112"/>
      <c r="L9" s="112"/>
      <c r="M9" s="112"/>
      <c r="N9" s="112"/>
      <c r="O9" s="112"/>
      <c r="P9" s="112"/>
      <c r="Q9" s="112"/>
      <c r="R9" s="112"/>
      <c r="S9" s="112"/>
      <c r="T9" s="111"/>
      <c r="U9" s="111"/>
      <c r="V9" s="194" t="s">
        <v>726</v>
      </c>
      <c r="W9" s="194" t="s">
        <v>743</v>
      </c>
      <c r="X9" s="194" t="s">
        <v>93</v>
      </c>
      <c r="AD9" s="1" t="s">
        <v>144</v>
      </c>
      <c r="AJ9" s="48"/>
      <c r="AK9"/>
    </row>
    <row r="10" spans="1:37" s="6" customFormat="1" ht="33" hidden="1" customHeight="1">
      <c r="A10" s="42" t="s">
        <v>340</v>
      </c>
      <c r="B10" s="41" t="s">
        <v>341</v>
      </c>
      <c r="C10" s="41" t="s">
        <v>342</v>
      </c>
      <c r="D10" s="41" t="s">
        <v>343</v>
      </c>
      <c r="E10" s="53"/>
      <c r="F10" s="54"/>
      <c r="G10" s="166"/>
      <c r="H10" s="113"/>
      <c r="I10" s="113"/>
      <c r="J10" s="113"/>
      <c r="T10" s="113"/>
      <c r="U10" s="113"/>
      <c r="V10" s="194" t="s">
        <v>727</v>
      </c>
      <c r="W10" s="194" t="s">
        <v>371</v>
      </c>
      <c r="X10" s="194" t="s">
        <v>728</v>
      </c>
      <c r="AD10" s="49"/>
      <c r="AJ10" s="49"/>
    </row>
    <row r="11" spans="1:37" ht="76.5" hidden="1" customHeight="1">
      <c r="A11" s="47"/>
      <c r="B11" s="52"/>
      <c r="C11" s="52"/>
      <c r="D11" s="52"/>
      <c r="E11" s="55"/>
      <c r="G11" s="166"/>
      <c r="H11" s="111"/>
      <c r="I11" s="111"/>
      <c r="J11" s="111"/>
      <c r="T11" s="111"/>
      <c r="U11" s="111"/>
      <c r="V11" s="194" t="s">
        <v>729</v>
      </c>
      <c r="W11" s="194" t="s">
        <v>744</v>
      </c>
      <c r="X11" s="194" t="s">
        <v>93</v>
      </c>
    </row>
    <row r="12" spans="1:37" ht="102" hidden="1" customHeight="1">
      <c r="A12" s="42"/>
      <c r="B12" s="43"/>
      <c r="C12" s="30"/>
      <c r="D12" s="44"/>
      <c r="E12" s="34"/>
      <c r="F12" s="34"/>
      <c r="G12" s="166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194" t="s">
        <v>730</v>
      </c>
      <c r="W12" s="194" t="s">
        <v>745</v>
      </c>
      <c r="X12" s="194" t="s">
        <v>93</v>
      </c>
    </row>
    <row r="13" spans="1:37" ht="51" hidden="1" customHeight="1">
      <c r="B13" s="23"/>
      <c r="C13" s="30"/>
      <c r="D13" s="31"/>
      <c r="G13" s="166"/>
      <c r="V13" s="194" t="s">
        <v>731</v>
      </c>
      <c r="W13" s="194" t="s">
        <v>746</v>
      </c>
      <c r="X13" s="194" t="s">
        <v>134</v>
      </c>
    </row>
    <row r="14" spans="1:37" ht="21.75" customHeight="1" thickBot="1">
      <c r="B14" s="23"/>
      <c r="C14" s="30"/>
      <c r="D14" s="31"/>
      <c r="G14" s="166"/>
      <c r="V14" s="194" t="s">
        <v>732</v>
      </c>
      <c r="W14" s="194" t="s">
        <v>747</v>
      </c>
      <c r="X14" s="194" t="s">
        <v>93</v>
      </c>
    </row>
    <row r="15" spans="1:37" ht="34.5" customHeight="1" thickBot="1">
      <c r="B15" s="114" t="str">
        <f>CONCATENATE("Nová verze přehledu závazných projektových výstupů uvedených v Rozhodnutí ",C2)</f>
        <v>Nová verze přehledu závazných projektových výstupů uvedených v Rozhodnutí /32/26</v>
      </c>
      <c r="C15" s="30"/>
      <c r="D15" s="31"/>
      <c r="V15" s="194" t="s">
        <v>733</v>
      </c>
      <c r="W15" s="194" t="s">
        <v>390</v>
      </c>
      <c r="X15" s="194" t="s">
        <v>734</v>
      </c>
    </row>
    <row r="16" spans="1:37" ht="32.25" thickBot="1">
      <c r="A16" s="124" t="s">
        <v>41</v>
      </c>
      <c r="B16" s="124" t="s">
        <v>100</v>
      </c>
      <c r="C16" s="124" t="s">
        <v>185</v>
      </c>
      <c r="D16" s="124" t="s">
        <v>198</v>
      </c>
      <c r="E16" s="124" t="s">
        <v>145</v>
      </c>
      <c r="F16" s="124" t="s">
        <v>135</v>
      </c>
      <c r="G16" s="124" t="s">
        <v>110</v>
      </c>
      <c r="V16" s="194" t="s">
        <v>353</v>
      </c>
      <c r="W16" s="194" t="s">
        <v>335</v>
      </c>
      <c r="X16" s="194" t="s">
        <v>170</v>
      </c>
    </row>
    <row r="17" spans="1:24" s="3" customFormat="1" ht="45" customHeight="1" thickBot="1">
      <c r="A17" s="204" t="s">
        <v>101</v>
      </c>
      <c r="B17" s="205" t="e">
        <f>VLOOKUP(CONCATENATE("MIZPP",'Projekt a žadatel'!C$4,'Projekt a žadatel'!C$7,'Projekt a žadatel'!C$3),DB_rozpočtů!A$3:GA$25,73,FALSE)</f>
        <v>#N/A</v>
      </c>
      <c r="C17" s="206" t="e">
        <f>VLOOKUP(CONCATENATE("MIZPP",'Projekt a žadatel'!C$4,'Projekt a žadatel'!C$7,'Projekt a žadatel'!C$3),DB_rozpočtů!A$3:GA$25,74,FALSE)</f>
        <v>#N/A</v>
      </c>
      <c r="D17" s="174" t="e">
        <f>VLOOKUP(CONCATENATE("MIZPP",'Projekt a žadatel'!C$4,'Projekt a žadatel'!C$7,'Projekt a žadatel'!C$3),DB_rozpočtů!A$3:GA$25,75,FALSE)</f>
        <v>#N/A</v>
      </c>
      <c r="E17" s="152"/>
      <c r="F17" s="174" t="e">
        <f>VLOOKUP(CONCATENATE("MIZPP",'Projekt a žadatel'!C$4,'Projekt a žadatel'!C$7,'Projekt a žadatel'!C$3),DB_rozpočtů!A$3:GA$25,76,FALSE)</f>
        <v>#N/A</v>
      </c>
      <c r="G17" s="171"/>
      <c r="V17" s="194" t="s">
        <v>735</v>
      </c>
      <c r="W17" s="194" t="s">
        <v>132</v>
      </c>
      <c r="X17" s="194" t="s">
        <v>134</v>
      </c>
    </row>
    <row r="18" spans="1:24" s="3" customFormat="1" ht="40.5" customHeight="1" thickBot="1">
      <c r="A18" s="204" t="s">
        <v>102</v>
      </c>
      <c r="B18" s="205" t="e">
        <f>VLOOKUP(CONCATENATE("MIZPP",'Projekt a žadatel'!C$4,'Projekt a žadatel'!C$7,'Projekt a žadatel'!C$3),DB_rozpočtů!A$3:GA$25,77,FALSE)</f>
        <v>#N/A</v>
      </c>
      <c r="C18" s="206" t="e">
        <f>VLOOKUP(CONCATENATE("MIZPP",'Projekt a žadatel'!C$4,'Projekt a žadatel'!C$7,'Projekt a žadatel'!C$3),DB_rozpočtů!A$3:GA$25,78,FALSE)</f>
        <v>#N/A</v>
      </c>
      <c r="D18" s="206" t="e">
        <f>VLOOKUP(CONCATENATE("MIZPP",'Projekt a žadatel'!C$4,'Projekt a žadatel'!C$7,'Projekt a žadatel'!C$3),DB_rozpočtů!A$3:GA$25,79,FALSE)</f>
        <v>#N/A</v>
      </c>
      <c r="E18" s="152"/>
      <c r="F18" s="174" t="e">
        <f>VLOOKUP(CONCATENATE("MIZPP",'Projekt a žadatel'!C$4,'Projekt a žadatel'!C$7,'Projekt a žadatel'!C$3),DB_rozpočtů!A$3:GA$25,80,FALSE)</f>
        <v>#N/A</v>
      </c>
      <c r="G18" s="171"/>
      <c r="V18" s="194" t="s">
        <v>736</v>
      </c>
      <c r="W18" s="194" t="s">
        <v>370</v>
      </c>
      <c r="X18" s="194" t="s">
        <v>737</v>
      </c>
    </row>
    <row r="19" spans="1:24" s="3" customFormat="1" ht="30.75" customHeight="1" thickBot="1">
      <c r="A19" s="204" t="s">
        <v>103</v>
      </c>
      <c r="B19" s="205" t="e">
        <f>VLOOKUP(CONCATENATE("MIZPP",'Projekt a žadatel'!C$4,'Projekt a žadatel'!C$7,'Projekt a žadatel'!C$3),DB_rozpočtů!A$3:GA$25,81,FALSE)</f>
        <v>#N/A</v>
      </c>
      <c r="C19" s="206" t="e">
        <f>VLOOKUP(CONCATENATE("MIZPP",'Projekt a žadatel'!C$4,'Projekt a žadatel'!C$7,'Projekt a žadatel'!C$3),DB_rozpočtů!A$3:GA$25,82,FALSE)</f>
        <v>#N/A</v>
      </c>
      <c r="D19" s="206" t="e">
        <f>VLOOKUP(CONCATENATE("MIZPP",'Projekt a žadatel'!C$4,'Projekt a žadatel'!C$7,'Projekt a žadatel'!C$3),DB_rozpočtů!A$3:GA$25,83,FALSE)</f>
        <v>#N/A</v>
      </c>
      <c r="E19" s="152"/>
      <c r="F19" s="174" t="e">
        <f>VLOOKUP(CONCATENATE("MIZPP",'Projekt a žadatel'!C$4,'Projekt a žadatel'!C$7,'Projekt a žadatel'!C$3),DB_rozpočtů!A$3:GA$25,84,FALSE)</f>
        <v>#N/A</v>
      </c>
      <c r="G19" s="171"/>
      <c r="V19" s="194" t="s">
        <v>738</v>
      </c>
      <c r="W19" s="194" t="s">
        <v>748</v>
      </c>
      <c r="X19" s="194" t="s">
        <v>93</v>
      </c>
    </row>
    <row r="20" spans="1:24" s="3" customFormat="1" ht="15.75" thickBot="1">
      <c r="A20" s="204" t="s">
        <v>104</v>
      </c>
      <c r="B20" s="205" t="e">
        <f>VLOOKUP(CONCATENATE("MIZPP",'Projekt a žadatel'!C$4,'Projekt a žadatel'!C$7,'Projekt a žadatel'!C$3),DB_rozpočtů!A$3:GA$25,85,FALSE)</f>
        <v>#N/A</v>
      </c>
      <c r="C20" s="206" t="e">
        <f>VLOOKUP(CONCATENATE("MIZPP",'Projekt a žadatel'!C$4,'Projekt a žadatel'!C$7,'Projekt a žadatel'!C$3),DB_rozpočtů!A$3:GA$25,86,FALSE)</f>
        <v>#N/A</v>
      </c>
      <c r="D20" s="206" t="e">
        <f>VLOOKUP(CONCATENATE("MIZPP",'Projekt a žadatel'!C$4,'Projekt a žadatel'!C$7,'Projekt a žadatel'!C$3),DB_rozpočtů!A$3:GA$25,85,FALSE)</f>
        <v>#N/A</v>
      </c>
      <c r="E20" s="152"/>
      <c r="F20" s="174" t="e">
        <f>VLOOKUP(CONCATENATE("MIZPP",'Projekt a žadatel'!C$4,'Projekt a žadatel'!C$7,'Projekt a žadatel'!C$3),DB_rozpočtů!A$3:GA$25,88,FALSE)</f>
        <v>#N/A</v>
      </c>
      <c r="G20" s="171"/>
      <c r="V20" s="194" t="s">
        <v>354</v>
      </c>
      <c r="W20" s="194" t="s">
        <v>339</v>
      </c>
      <c r="X20" s="194" t="s">
        <v>98</v>
      </c>
    </row>
    <row r="21" spans="1:24" s="3" customFormat="1">
      <c r="A21" s="204" t="s">
        <v>71</v>
      </c>
      <c r="B21" s="205" t="e">
        <f>VLOOKUP(CONCATENATE("MIZPP",'Projekt a žadatel'!C$4,'Projekt a žadatel'!C$7,'Projekt a žadatel'!C$3),DB_rozpočtů!A$3:GA$25,89,FALSE)</f>
        <v>#N/A</v>
      </c>
      <c r="C21" s="206" t="e">
        <f>VLOOKUP(CONCATENATE("MIZPP",'Projekt a žadatel'!C$4,'Projekt a žadatel'!C$7,'Projekt a žadatel'!C$3),DB_rozpočtů!A$3:GA$25,90,FALSE)</f>
        <v>#N/A</v>
      </c>
      <c r="D21" s="206" t="e">
        <f>VLOOKUP(CONCATENATE("MIZPP",'Projekt a žadatel'!C$4,'Projekt a žadatel'!C$7,'Projekt a žadatel'!C$3),DB_rozpočtů!A$3:GA$25,91,FALSE)</f>
        <v>#N/A</v>
      </c>
      <c r="E21" s="152"/>
      <c r="F21" s="174" t="e">
        <f>VLOOKUP(CONCATENATE("MIZPP",'Projekt a žadatel'!C$4,'Projekt a žadatel'!C$7,'Projekt a žadatel'!C$3),DB_rozpočtů!A$3:GA$25,92,FALSE)</f>
        <v>#N/A</v>
      </c>
      <c r="G21" s="171"/>
    </row>
    <row r="22" spans="1:24" s="3" customFormat="1" ht="43.5" customHeight="1">
      <c r="A22" s="204" t="s">
        <v>105</v>
      </c>
      <c r="B22" s="205" t="e">
        <f>VLOOKUP(CONCATENATE("MIZPP",'Projekt a žadatel'!C$4,'Projekt a žadatel'!C$7,'Projekt a žadatel'!C$3),DB_rozpočtů!A$3:GA$25,93,FALSE)</f>
        <v>#N/A</v>
      </c>
      <c r="C22" s="206" t="e">
        <f>VLOOKUP(CONCATENATE("MIZPP",'Projekt a žadatel'!C$4,'Projekt a žadatel'!C$7,'Projekt a žadatel'!C$3),DB_rozpočtů!A$3:GA$25,94,FALSE)</f>
        <v>#N/A</v>
      </c>
      <c r="D22" s="206" t="e">
        <f>VLOOKUP(CONCATENATE("MIZPP",'Projekt a žadatel'!C$4,'Projekt a žadatel'!C$7,'Projekt a žadatel'!C$3),DB_rozpočtů!A$3:GA$25,95,FALSE)</f>
        <v>#N/A</v>
      </c>
      <c r="E22" s="152"/>
      <c r="F22" s="174" t="e">
        <f>VLOOKUP(CONCATENATE("MIZPP",'Projekt a žadatel'!C$4,'Projekt a žadatel'!C$7,'Projekt a žadatel'!C$3),DB_rozpočtů!A$3:GA$25,96,FALSE)</f>
        <v>#N/A</v>
      </c>
      <c r="G22" s="171"/>
    </row>
    <row r="23" spans="1:24" s="3" customFormat="1" ht="38.25" customHeight="1">
      <c r="A23" s="204" t="s">
        <v>106</v>
      </c>
      <c r="B23" s="205" t="e">
        <f>VLOOKUP(CONCATENATE("MIZPP",'Projekt a žadatel'!C$4,'Projekt a žadatel'!C$7,'Projekt a žadatel'!C$3),DB_rozpočtů!A$3:GA$25,97,FALSE)</f>
        <v>#N/A</v>
      </c>
      <c r="C23" s="206" t="e">
        <f>VLOOKUP(CONCATENATE("MIZPP",'Projekt a žadatel'!C$4,'Projekt a žadatel'!C$7,'Projekt a žadatel'!C$3),DB_rozpočtů!A$3:GA$25,98,FALSE)</f>
        <v>#N/A</v>
      </c>
      <c r="D23" s="206" t="e">
        <f>VLOOKUP(CONCATENATE("MIZPP",'Projekt a žadatel'!C$4,'Projekt a žadatel'!C$7,'Projekt a žadatel'!C$3),DB_rozpočtů!A$3:GA$25,99,FALSE)</f>
        <v>#N/A</v>
      </c>
      <c r="E23" s="152"/>
      <c r="F23" s="174" t="e">
        <f>VLOOKUP(CONCATENATE("MIZPP",'Projekt a žadatel'!C$4,'Projekt a žadatel'!C$7,'Projekt a žadatel'!C$3),DB_rozpočtů!A$3:GA$25,100,FALSE)</f>
        <v>#N/A</v>
      </c>
      <c r="G23" s="171"/>
    </row>
    <row r="24" spans="1:24" s="3" customFormat="1">
      <c r="A24" s="204" t="s">
        <v>107</v>
      </c>
      <c r="B24" s="205" t="e">
        <f>VLOOKUP(CONCATENATE("MIZPP",'Projekt a žadatel'!C$4,'Projekt a žadatel'!C$7,'Projekt a žadatel'!C$3),DB_rozpočtů!A$3:GA$25,101,FALSE)</f>
        <v>#N/A</v>
      </c>
      <c r="C24" s="206" t="e">
        <f>VLOOKUP(CONCATENATE("MIZPP",'Projekt a žadatel'!C$4,'Projekt a žadatel'!C$7,'Projekt a žadatel'!C$3),DB_rozpočtů!A$3:GA$25,102,FALSE)</f>
        <v>#N/A</v>
      </c>
      <c r="D24" s="206" t="e">
        <f>VLOOKUP(CONCATENATE("MIZPP",'Projekt a žadatel'!C$4,'Projekt a žadatel'!C$7,'Projekt a žadatel'!C$3),DB_rozpočtů!A$3:GA$25,103,FALSE)</f>
        <v>#N/A</v>
      </c>
      <c r="E24" s="152"/>
      <c r="F24" s="174" t="e">
        <f>VLOOKUP(CONCATENATE("MIZPP",'Projekt a žadatel'!C$4,'Projekt a žadatel'!C$7,'Projekt a žadatel'!C$3),DB_rozpočtů!A$3:GA$25,104,FALSE)</f>
        <v>#N/A</v>
      </c>
      <c r="G24" s="171"/>
    </row>
    <row r="25" spans="1:24" s="3" customFormat="1">
      <c r="A25" s="204" t="s">
        <v>108</v>
      </c>
      <c r="B25" s="205" t="e">
        <f>VLOOKUP(CONCATENATE("MIZPP",'Projekt a žadatel'!C$4,'Projekt a žadatel'!C$7,'Projekt a žadatel'!C$3),DB_rozpočtů!A$3:GA$25,105,FALSE)</f>
        <v>#N/A</v>
      </c>
      <c r="C25" s="206" t="e">
        <f>VLOOKUP(CONCATENATE("MIZPP",'Projekt a žadatel'!C$4,'Projekt a žadatel'!C$7,'Projekt a žadatel'!C$3),DB_rozpočtů!A$3:GA$25,106,FALSE)</f>
        <v>#N/A</v>
      </c>
      <c r="D25" s="206" t="e">
        <f>VLOOKUP(CONCATENATE("MIZPP",'Projekt a žadatel'!C$4,'Projekt a žadatel'!C$7,'Projekt a žadatel'!C$3),DB_rozpočtů!A$3:GA$25,107,FALSE)</f>
        <v>#N/A</v>
      </c>
      <c r="E25" s="152"/>
      <c r="F25" s="174" t="e">
        <f>VLOOKUP(CONCATENATE("MIZPP",'Projekt a žadatel'!C$4,'Projekt a žadatel'!C$7,'Projekt a žadatel'!C$3),DB_rozpočtů!A$3:GA$25,108,FALSE)</f>
        <v>#N/A</v>
      </c>
      <c r="G25" s="171"/>
    </row>
    <row r="26" spans="1:24" s="3" customFormat="1" ht="25.5" customHeight="1">
      <c r="A26" s="204" t="s">
        <v>109</v>
      </c>
      <c r="B26" s="205" t="e">
        <f>VLOOKUP(CONCATENATE("MIZPP",'Projekt a žadatel'!C$4,'Projekt a žadatel'!C$7,'Projekt a žadatel'!C$3),DB_rozpočtů!A$3:GA$25,109,FALSE)</f>
        <v>#N/A</v>
      </c>
      <c r="C26" s="206" t="e">
        <f>VLOOKUP(CONCATENATE("MIZPP",'Projekt a žadatel'!C$4,'Projekt a žadatel'!C$7,'Projekt a žadatel'!C$3),DB_rozpočtů!A$3:GA$25,110,FALSE)</f>
        <v>#N/A</v>
      </c>
      <c r="D26" s="206" t="e">
        <f>VLOOKUP(CONCATENATE("MIZPP",'Projekt a žadatel'!C$4,'Projekt a žadatel'!C$7,'Projekt a žadatel'!C$3),DB_rozpočtů!A$3:GA$25,111,FALSE)</f>
        <v>#N/A</v>
      </c>
      <c r="E26" s="152"/>
      <c r="F26" s="174" t="e">
        <f>VLOOKUP(CONCATENATE("MIZPP",'Projekt a žadatel'!C$4,'Projekt a žadatel'!C$7,'Projekt a žadatel'!C$3),DB_rozpočtů!A$3:GA$25,112,FALSE)</f>
        <v>#N/A</v>
      </c>
      <c r="G26" s="171"/>
    </row>
    <row r="27" spans="1:24" s="3" customFormat="1">
      <c r="A27" s="204" t="s">
        <v>91</v>
      </c>
      <c r="B27" s="205" t="e">
        <f>VLOOKUP(CONCATENATE("MIZPP",'Projekt a žadatel'!C$4,'Projekt a žadatel'!C$7,'Projekt a žadatel'!C$3),DB_rozpočtů!A$3:GA$25,113,FALSE)</f>
        <v>#N/A</v>
      </c>
      <c r="C27" s="206" t="e">
        <f>VLOOKUP(CONCATENATE("MIZPP",'Projekt a žadatel'!C$4,'Projekt a žadatel'!C$7,'Projekt a žadatel'!C$3),DB_rozpočtů!A$3:GA$25,114,FALSE)</f>
        <v>#N/A</v>
      </c>
      <c r="D27" s="206" t="e">
        <f>VLOOKUP(CONCATENATE("MIZPP",'Projekt a žadatel'!C$4,'Projekt a žadatel'!C$7,'Projekt a žadatel'!C$3),DB_rozpočtů!A$3:GA$25,115,FALSE)</f>
        <v>#N/A</v>
      </c>
      <c r="E27" s="152"/>
      <c r="F27" s="174" t="e">
        <f>VLOOKUP(CONCATENATE("MIZPP",'Projekt a žadatel'!C$4,'Projekt a žadatel'!C$7,'Projekt a žadatel'!C$3),DB_rozpočtů!A$3:GA$25,116,FALSE)</f>
        <v>#N/A</v>
      </c>
      <c r="G27" s="171"/>
    </row>
    <row r="28" spans="1:24" s="3" customFormat="1">
      <c r="A28" s="204" t="s">
        <v>92</v>
      </c>
      <c r="B28" s="205" t="e">
        <f>VLOOKUP(CONCATENATE("MIZPP",'Projekt a žadatel'!C$4,'Projekt a žadatel'!C$7,'Projekt a žadatel'!C$3),DB_rozpočtů!A$3:GA$25,117,FALSE)</f>
        <v>#N/A</v>
      </c>
      <c r="C28" s="206" t="e">
        <f>VLOOKUP(CONCATENATE("MIZPP",'Projekt a žadatel'!C$4,'Projekt a žadatel'!C$7,'Projekt a žadatel'!C$3),DB_rozpočtů!A$3:GA$25,118,FALSE)</f>
        <v>#N/A</v>
      </c>
      <c r="D28" s="206" t="e">
        <f>VLOOKUP(CONCATENATE("MIZPP",'Projekt a žadatel'!C$4,'Projekt a žadatel'!C$7,'Projekt a žadatel'!C$3),DB_rozpočtů!A$3:GA$25,119,FALSE)</f>
        <v>#N/A</v>
      </c>
      <c r="E28" s="152"/>
      <c r="F28" s="174" t="e">
        <f>VLOOKUP(CONCATENATE("MIZPP",'Projekt a žadatel'!C$4,'Projekt a žadatel'!C$7,'Projekt a žadatel'!C$3),DB_rozpočtů!A$3:GA$25,120,FALSE)</f>
        <v>#N/A</v>
      </c>
      <c r="G28" s="171"/>
    </row>
    <row r="29" spans="1:24" s="3" customFormat="1">
      <c r="A29" s="204" t="s">
        <v>172</v>
      </c>
      <c r="B29" s="205" t="e">
        <f>VLOOKUP(CONCATENATE("MIZPP",'Projekt a žadatel'!C$4,'Projekt a žadatel'!C$7,'Projekt a žadatel'!C$3),DB_rozpočtů!A$3:GA$25,121,FALSE)</f>
        <v>#N/A</v>
      </c>
      <c r="C29" s="206" t="e">
        <f>VLOOKUP(CONCATENATE("MIZPP",'Projekt a žadatel'!C$4,'Projekt a žadatel'!C$7,'Projekt a žadatel'!C$3),DB_rozpočtů!A$3:GA$25,122,FALSE)</f>
        <v>#N/A</v>
      </c>
      <c r="D29" s="206" t="e">
        <f>VLOOKUP(CONCATENATE("MIZPP",'Projekt a žadatel'!C$4,'Projekt a žadatel'!C$7,'Projekt a žadatel'!C$3),DB_rozpočtů!A$3:GA$25,123,FALSE)</f>
        <v>#N/A</v>
      </c>
      <c r="E29" s="152"/>
      <c r="F29" s="174" t="e">
        <f>VLOOKUP(CONCATENATE("MIZPP",'Projekt a žadatel'!C$4,'Projekt a žadatel'!C$7,'Projekt a žadatel'!C$3),DB_rozpočtů!A$3:GA$25,124,FALSE)</f>
        <v>#N/A</v>
      </c>
      <c r="G29" s="171"/>
    </row>
    <row r="30" spans="1:24" s="3" customFormat="1">
      <c r="A30" s="204" t="s">
        <v>173</v>
      </c>
      <c r="B30" s="205" t="e">
        <f>VLOOKUP(CONCATENATE("MIZPP",'Projekt a žadatel'!C$4,'Projekt a žadatel'!C$7,'Projekt a žadatel'!C$3),DB_rozpočtů!A$3:GA$25,125,FALSE)</f>
        <v>#N/A</v>
      </c>
      <c r="C30" s="206" t="e">
        <f>VLOOKUP(CONCATENATE("MIZPP",'Projekt a žadatel'!C$4,'Projekt a žadatel'!C$7,'Projekt a žadatel'!C$3),DB_rozpočtů!A$3:GA$25,126,FALSE)</f>
        <v>#N/A</v>
      </c>
      <c r="D30" s="206" t="e">
        <f>VLOOKUP(CONCATENATE("MIZPP",'Projekt a žadatel'!C$4,'Projekt a žadatel'!C$7,'Projekt a žadatel'!C$3),DB_rozpočtů!A$3:GA$25,127,FALSE)</f>
        <v>#N/A</v>
      </c>
      <c r="E30" s="152"/>
      <c r="F30" s="174" t="e">
        <f>VLOOKUP(CONCATENATE("MIZPP",'Projekt a žadatel'!C$4,'Projekt a žadatel'!C$7,'Projekt a žadatel'!C$3),DB_rozpočtů!A$3:GA$25,128,FALSE)</f>
        <v>#N/A</v>
      </c>
      <c r="G30" s="171"/>
    </row>
    <row r="31" spans="1:24" s="3" customFormat="1">
      <c r="A31" s="204" t="s">
        <v>344</v>
      </c>
      <c r="B31" s="205" t="e">
        <f>VLOOKUP(CONCATENATE("MIZPP",'Projekt a žadatel'!C$4,'Projekt a žadatel'!C$7,'Projekt a žadatel'!C$3),DB_rozpočtů!A$3:GA$25,129,FALSE)</f>
        <v>#N/A</v>
      </c>
      <c r="C31" s="206" t="e">
        <f>VLOOKUP(CONCATENATE("MIZPP",'Projekt a žadatel'!C$4,'Projekt a žadatel'!C$7,'Projekt a žadatel'!C$3),DB_rozpočtů!A$3:GA$25,130,FALSE)</f>
        <v>#N/A</v>
      </c>
      <c r="D31" s="206" t="e">
        <f>VLOOKUP(CONCATENATE("MIZPP",'Projekt a žadatel'!C$4,'Projekt a žadatel'!C$7,'Projekt a žadatel'!C$3),DB_rozpočtů!A$3:GA$25,131,FALSE)</f>
        <v>#N/A</v>
      </c>
      <c r="E31" s="152"/>
      <c r="F31" s="174" t="e">
        <f>VLOOKUP(CONCATENATE("MIZPP",'Projekt a žadatel'!C$4,'Projekt a žadatel'!C$7,'Projekt a žadatel'!C$3),DB_rozpočtů!A$3:GA$25,132,FALSE)</f>
        <v>#N/A</v>
      </c>
      <c r="G31" s="171"/>
    </row>
    <row r="32" spans="1:24" s="3" customFormat="1" ht="16.5" customHeight="1">
      <c r="A32" s="204" t="s">
        <v>345</v>
      </c>
      <c r="B32" s="205" t="e">
        <f>VLOOKUP(CONCATENATE("MIZPP",'Projekt a žadatel'!C$4,'Projekt a žadatel'!C$7,'Projekt a žadatel'!C$3),DB_rozpočtů!A$3:GA$25,133,FALSE)</f>
        <v>#N/A</v>
      </c>
      <c r="C32" s="206" t="e">
        <f>VLOOKUP(CONCATENATE("MIZPP",'Projekt a žadatel'!C$4,'Projekt a žadatel'!C$7,'Projekt a žadatel'!C$3),DB_rozpočtů!A$3:GA$25,134,FALSE)</f>
        <v>#N/A</v>
      </c>
      <c r="D32" s="206" t="e">
        <f>VLOOKUP(CONCATENATE("MIZPP",'Projekt a žadatel'!C$4,'Projekt a žadatel'!C$7,'Projekt a žadatel'!C$3),DB_rozpočtů!A$3:GA$25,135,FALSE)</f>
        <v>#N/A</v>
      </c>
      <c r="E32" s="152"/>
      <c r="F32" s="174" t="e">
        <f>VLOOKUP(CONCATENATE("MIZPP",'Projekt a žadatel'!C$4,'Projekt a žadatel'!C$7,'Projekt a žadatel'!C$3),DB_rozpočtů!A$3:GA$25,136,FALSE)</f>
        <v>#N/A</v>
      </c>
      <c r="G32" s="171"/>
    </row>
    <row r="33" spans="1:7" s="3" customFormat="1" ht="16.5" customHeight="1">
      <c r="A33" s="204" t="s">
        <v>346</v>
      </c>
      <c r="B33" s="205" t="e">
        <f>VLOOKUP(CONCATENATE("MIZPP",'Projekt a žadatel'!C$4,'Projekt a žadatel'!C$7,'Projekt a žadatel'!C$3),DB_rozpočtů!A$3:GA$25,137,FALSE)</f>
        <v>#N/A</v>
      </c>
      <c r="C33" s="206" t="e">
        <f>VLOOKUP(CONCATENATE("MIZPP",'Projekt a žadatel'!C$4,'Projekt a žadatel'!C$7,'Projekt a žadatel'!C$3),DB_rozpočtů!A$3:GA$25,138,FALSE)</f>
        <v>#N/A</v>
      </c>
      <c r="D33" s="206" t="e">
        <f>VLOOKUP(CONCATENATE("MIZPP",'Projekt a žadatel'!C$4,'Projekt a žadatel'!C$7,'Projekt a žadatel'!C$3),DB_rozpočtů!A$3:GA$25,139,FALSE)</f>
        <v>#N/A</v>
      </c>
      <c r="E33" s="152"/>
      <c r="F33" s="174" t="e">
        <f>VLOOKUP(CONCATENATE("MIZPP",'Projekt a žadatel'!C$4,'Projekt a žadatel'!C$7,'Projekt a žadatel'!C$3),DB_rozpočtů!A$3:GA$25,140,FALSE)</f>
        <v>#N/A</v>
      </c>
      <c r="G33" s="171"/>
    </row>
    <row r="34" spans="1:7" ht="17.25" customHeight="1">
      <c r="A34" s="204" t="s">
        <v>347</v>
      </c>
      <c r="B34" s="205" t="e">
        <f>VLOOKUP(CONCATENATE("MIZPP",'Projekt a žadatel'!C$4,'Projekt a žadatel'!C$7,'Projekt a žadatel'!C$3),DB_rozpočtů!A$3:GA$25,141,FALSE)</f>
        <v>#N/A</v>
      </c>
      <c r="C34" s="206" t="e">
        <f>VLOOKUP(CONCATENATE("MIZPP",'Projekt a žadatel'!C$4,'Projekt a žadatel'!C$7,'Projekt a žadatel'!C$3),DB_rozpočtů!A$3:GA$25,142,FALSE)</f>
        <v>#N/A</v>
      </c>
      <c r="D34" s="206" t="e">
        <f>VLOOKUP(CONCATENATE("MIZPP",'Projekt a žadatel'!C$4,'Projekt a žadatel'!C$7,'Projekt a žadatel'!C$3),DB_rozpočtů!A$3:GA$25,143,FALSE)</f>
        <v>#N/A</v>
      </c>
      <c r="E34" s="152"/>
      <c r="F34" s="174" t="e">
        <f>VLOOKUP(CONCATENATE("MIZPP",'Projekt a žadatel'!C$4,'Projekt a žadatel'!C$7,'Projekt a žadatel'!C$3),DB_rozpočtů!A$3:GA$25,144,FALSE)</f>
        <v>#N/A</v>
      </c>
      <c r="G34" s="171"/>
    </row>
    <row r="35" spans="1:7" ht="16.5" customHeight="1">
      <c r="A35" s="117" t="s">
        <v>111</v>
      </c>
      <c r="B35" s="158"/>
      <c r="C35" s="207" t="s">
        <v>358</v>
      </c>
      <c r="D35" s="208" t="str">
        <f t="shared" ref="D35:D49" si="0">IF(ISNA(VLOOKUP(F35,V$1:X$18,3,FALSE)),"",VLOOKUP(F35,V$1:X$18,3,FALSE))</f>
        <v/>
      </c>
      <c r="E35" s="156"/>
      <c r="F35" s="157"/>
      <c r="G35" s="156"/>
    </row>
    <row r="36" spans="1:7" ht="16.5" customHeight="1">
      <c r="A36" s="117" t="s">
        <v>112</v>
      </c>
      <c r="B36" s="158"/>
      <c r="C36" s="207" t="s">
        <v>358</v>
      </c>
      <c r="D36" s="208" t="str">
        <f t="shared" si="0"/>
        <v/>
      </c>
      <c r="E36" s="156"/>
      <c r="F36" s="157"/>
      <c r="G36" s="156"/>
    </row>
    <row r="37" spans="1:7" ht="16.5" customHeight="1">
      <c r="A37" s="117" t="s">
        <v>113</v>
      </c>
      <c r="B37" s="158"/>
      <c r="C37" s="207" t="s">
        <v>358</v>
      </c>
      <c r="D37" s="208" t="str">
        <f t="shared" si="0"/>
        <v/>
      </c>
      <c r="E37" s="156"/>
      <c r="F37" s="157"/>
      <c r="G37" s="156"/>
    </row>
    <row r="38" spans="1:7" ht="16.5" customHeight="1">
      <c r="A38" s="117" t="s">
        <v>114</v>
      </c>
      <c r="B38" s="158"/>
      <c r="C38" s="207" t="s">
        <v>358</v>
      </c>
      <c r="D38" s="208" t="str">
        <f t="shared" si="0"/>
        <v/>
      </c>
      <c r="E38" s="156"/>
      <c r="F38" s="157"/>
      <c r="G38" s="156"/>
    </row>
    <row r="39" spans="1:7" ht="16.5" customHeight="1">
      <c r="A39" s="117" t="s">
        <v>115</v>
      </c>
      <c r="B39" s="158"/>
      <c r="C39" s="207" t="s">
        <v>358</v>
      </c>
      <c r="D39" s="208" t="str">
        <f t="shared" si="0"/>
        <v/>
      </c>
      <c r="E39" s="156"/>
      <c r="F39" s="157"/>
      <c r="G39" s="156"/>
    </row>
    <row r="40" spans="1:7" ht="16.5" customHeight="1">
      <c r="A40" s="117" t="s">
        <v>116</v>
      </c>
      <c r="B40" s="158"/>
      <c r="C40" s="207" t="s">
        <v>358</v>
      </c>
      <c r="D40" s="208" t="str">
        <f t="shared" si="0"/>
        <v/>
      </c>
      <c r="E40" s="156"/>
      <c r="F40" s="157"/>
      <c r="G40" s="156"/>
    </row>
    <row r="41" spans="1:7" ht="16.5" customHeight="1">
      <c r="A41" s="117" t="s">
        <v>117</v>
      </c>
      <c r="B41" s="158"/>
      <c r="C41" s="207" t="s">
        <v>358</v>
      </c>
      <c r="D41" s="208" t="str">
        <f t="shared" si="0"/>
        <v/>
      </c>
      <c r="E41" s="156"/>
      <c r="F41" s="157"/>
      <c r="G41" s="156"/>
    </row>
    <row r="42" spans="1:7" ht="16.5" customHeight="1">
      <c r="A42" s="117" t="s">
        <v>118</v>
      </c>
      <c r="B42" s="158"/>
      <c r="C42" s="207" t="s">
        <v>358</v>
      </c>
      <c r="D42" s="208" t="str">
        <f t="shared" si="0"/>
        <v/>
      </c>
      <c r="E42" s="156"/>
      <c r="F42" s="157"/>
      <c r="G42" s="156"/>
    </row>
    <row r="43" spans="1:7" ht="16.5" customHeight="1">
      <c r="A43" s="117" t="s">
        <v>119</v>
      </c>
      <c r="B43" s="158"/>
      <c r="C43" s="207" t="s">
        <v>358</v>
      </c>
      <c r="D43" s="208" t="str">
        <f t="shared" si="0"/>
        <v/>
      </c>
      <c r="E43" s="156"/>
      <c r="F43" s="157"/>
      <c r="G43" s="156"/>
    </row>
    <row r="44" spans="1:7" ht="16.5" customHeight="1">
      <c r="A44" s="117" t="s">
        <v>120</v>
      </c>
      <c r="B44" s="158"/>
      <c r="C44" s="207" t="s">
        <v>358</v>
      </c>
      <c r="D44" s="208" t="str">
        <f t="shared" si="0"/>
        <v/>
      </c>
      <c r="E44" s="156"/>
      <c r="F44" s="157"/>
      <c r="G44" s="156"/>
    </row>
    <row r="45" spans="1:7" ht="16.5" customHeight="1">
      <c r="A45" s="117" t="s">
        <v>174</v>
      </c>
      <c r="B45" s="158"/>
      <c r="C45" s="207" t="s">
        <v>358</v>
      </c>
      <c r="D45" s="208" t="str">
        <f t="shared" si="0"/>
        <v/>
      </c>
      <c r="E45" s="156"/>
      <c r="F45" s="157"/>
      <c r="G45" s="156"/>
    </row>
    <row r="46" spans="1:7" ht="16.5" customHeight="1">
      <c r="A46" s="117" t="s">
        <v>175</v>
      </c>
      <c r="B46" s="158"/>
      <c r="C46" s="207" t="s">
        <v>358</v>
      </c>
      <c r="D46" s="208" t="str">
        <f t="shared" si="0"/>
        <v/>
      </c>
      <c r="E46" s="156"/>
      <c r="F46" s="157"/>
      <c r="G46" s="156"/>
    </row>
    <row r="47" spans="1:7" ht="16.5" customHeight="1">
      <c r="A47" s="117" t="s">
        <v>176</v>
      </c>
      <c r="B47" s="158"/>
      <c r="C47" s="207" t="s">
        <v>358</v>
      </c>
      <c r="D47" s="208" t="str">
        <f t="shared" si="0"/>
        <v/>
      </c>
      <c r="E47" s="156"/>
      <c r="F47" s="157"/>
      <c r="G47" s="156"/>
    </row>
    <row r="48" spans="1:7" ht="16.5" customHeight="1">
      <c r="A48" s="117" t="s">
        <v>177</v>
      </c>
      <c r="B48" s="158"/>
      <c r="C48" s="207" t="s">
        <v>358</v>
      </c>
      <c r="D48" s="208" t="str">
        <f t="shared" si="0"/>
        <v/>
      </c>
      <c r="E48" s="156"/>
      <c r="F48" s="157"/>
      <c r="G48" s="156"/>
    </row>
    <row r="49" spans="1:7" ht="16.5" customHeight="1">
      <c r="A49" s="117" t="s">
        <v>178</v>
      </c>
      <c r="B49" s="158"/>
      <c r="C49" s="207" t="s">
        <v>358</v>
      </c>
      <c r="D49" s="208" t="str">
        <f t="shared" si="0"/>
        <v/>
      </c>
      <c r="E49" s="156"/>
      <c r="F49" s="157"/>
      <c r="G49" s="156"/>
    </row>
    <row r="50" spans="1:7" ht="15.75">
      <c r="B50" s="27"/>
      <c r="C50" s="25"/>
      <c r="D50" s="26"/>
    </row>
    <row r="51" spans="1:7" ht="15.75">
      <c r="B51" s="27"/>
      <c r="C51" s="25"/>
      <c r="D51" s="26"/>
    </row>
    <row r="52" spans="1:7">
      <c r="B52" s="123" t="s">
        <v>348</v>
      </c>
      <c r="C52" s="25"/>
      <c r="D52" s="26"/>
    </row>
    <row r="53" spans="1:7" ht="15.75" customHeight="1">
      <c r="B53" s="238"/>
      <c r="C53" s="238"/>
      <c r="D53" s="238"/>
      <c r="E53" s="238"/>
      <c r="F53" s="238"/>
    </row>
    <row r="54" spans="1:7" ht="15.75" customHeight="1">
      <c r="B54" s="238"/>
      <c r="C54" s="238"/>
      <c r="D54" s="238"/>
      <c r="E54" s="238"/>
      <c r="F54" s="238"/>
    </row>
    <row r="55" spans="1:7" ht="15.75" customHeight="1">
      <c r="B55" s="238"/>
      <c r="C55" s="238"/>
      <c r="D55" s="238"/>
      <c r="E55" s="238"/>
      <c r="F55" s="238"/>
    </row>
    <row r="56" spans="1:7" ht="15.75" customHeight="1">
      <c r="B56" s="238"/>
      <c r="C56" s="238"/>
      <c r="D56" s="238"/>
      <c r="E56" s="238"/>
      <c r="F56" s="238"/>
    </row>
    <row r="57" spans="1:7" ht="15.75" customHeight="1">
      <c r="B57" s="238"/>
      <c r="C57" s="238"/>
      <c r="D57" s="238"/>
      <c r="E57" s="238"/>
      <c r="F57" s="238"/>
    </row>
    <row r="58" spans="1:7" ht="15.75" customHeight="1">
      <c r="B58" s="238"/>
      <c r="C58" s="238"/>
      <c r="D58" s="238"/>
      <c r="E58" s="238"/>
      <c r="F58" s="238"/>
    </row>
    <row r="59" spans="1:7" ht="15.75" customHeight="1">
      <c r="B59" s="238"/>
      <c r="C59" s="238"/>
      <c r="D59" s="238"/>
      <c r="E59" s="238"/>
      <c r="F59" s="238"/>
    </row>
    <row r="60" spans="1:7" ht="15.75" customHeight="1">
      <c r="B60" s="238"/>
      <c r="C60" s="238"/>
      <c r="D60" s="238"/>
      <c r="E60" s="238"/>
      <c r="F60" s="238"/>
    </row>
    <row r="61" spans="1:7" ht="15.75" customHeight="1">
      <c r="B61" s="238"/>
      <c r="C61" s="238"/>
      <c r="D61" s="238"/>
      <c r="E61" s="238"/>
      <c r="F61" s="238"/>
    </row>
    <row r="62" spans="1:7" ht="15.75" customHeight="1">
      <c r="B62" s="238"/>
      <c r="C62" s="238"/>
      <c r="D62" s="238"/>
      <c r="E62" s="238"/>
      <c r="F62" s="238"/>
    </row>
    <row r="63" spans="1:7" ht="15.75" customHeight="1">
      <c r="B63" s="238"/>
      <c r="C63" s="238"/>
      <c r="D63" s="238"/>
      <c r="E63" s="238"/>
      <c r="F63" s="238"/>
    </row>
    <row r="64" spans="1:7" ht="15.75" customHeight="1">
      <c r="B64" s="238"/>
      <c r="C64" s="238"/>
      <c r="D64" s="238"/>
      <c r="E64" s="238"/>
      <c r="F64" s="238"/>
    </row>
    <row r="65" spans="1:4" ht="15.75">
      <c r="B65" s="27"/>
      <c r="C65" s="25"/>
      <c r="D65" s="26"/>
    </row>
    <row r="66" spans="1:4" ht="15.75" hidden="1">
      <c r="A66" s="32" t="s">
        <v>121</v>
      </c>
      <c r="B66" s="46"/>
      <c r="C66" s="45" t="s">
        <v>122</v>
      </c>
      <c r="D66" s="56"/>
    </row>
    <row r="67" spans="1:4">
      <c r="A67" s="24"/>
      <c r="B67" s="28"/>
      <c r="C67" s="25"/>
      <c r="D67" s="29"/>
    </row>
    <row r="68" spans="1:4">
      <c r="C68" s="84" t="e">
        <f>VLOOKUP(CONCATENATE("MIZPP",'Projekt a žadatel'!C4,'Projekt a žadatel'!C7,'Projekt a žadatel'!C3),DB_rozpočtů!A$3:CS$25,17,FALSE)</f>
        <v>#N/A</v>
      </c>
    </row>
    <row r="93" spans="11:19">
      <c r="K93" s="234"/>
      <c r="L93" s="234"/>
      <c r="M93" s="234"/>
      <c r="N93" s="234"/>
      <c r="O93" s="234"/>
      <c r="P93" s="234"/>
      <c r="Q93" s="234"/>
      <c r="R93" s="234"/>
      <c r="S93" s="234"/>
    </row>
    <row r="94" spans="11:19">
      <c r="K94" s="234"/>
      <c r="L94" s="234"/>
      <c r="M94" s="234"/>
      <c r="N94" s="234"/>
      <c r="O94" s="234"/>
      <c r="P94" s="234"/>
      <c r="Q94" s="234"/>
      <c r="R94" s="234"/>
      <c r="S94" s="234"/>
    </row>
    <row r="95" spans="11:19">
      <c r="K95" s="234"/>
      <c r="L95" s="234"/>
      <c r="M95" s="234"/>
      <c r="N95" s="234"/>
      <c r="O95" s="234"/>
      <c r="P95" s="234"/>
      <c r="Q95" s="234"/>
      <c r="R95" s="234"/>
      <c r="S95" s="234"/>
    </row>
    <row r="96" spans="11:19">
      <c r="K96" s="235"/>
      <c r="L96" s="235"/>
      <c r="M96" s="235"/>
      <c r="N96" s="235"/>
      <c r="O96" s="235"/>
      <c r="P96" s="235"/>
      <c r="Q96" s="235"/>
      <c r="R96" s="235"/>
      <c r="S96" s="235"/>
    </row>
    <row r="97" spans="11:19">
      <c r="K97" s="235"/>
      <c r="L97" s="235"/>
      <c r="M97" s="235"/>
      <c r="N97" s="235"/>
      <c r="O97" s="235"/>
      <c r="P97" s="235"/>
      <c r="Q97" s="235"/>
      <c r="R97" s="235"/>
      <c r="S97" s="235"/>
    </row>
    <row r="98" spans="11:19">
      <c r="K98" s="235"/>
      <c r="L98" s="235"/>
      <c r="M98" s="235"/>
      <c r="N98" s="235"/>
      <c r="O98" s="235"/>
      <c r="P98" s="235"/>
      <c r="Q98" s="235"/>
      <c r="R98" s="235"/>
      <c r="S98" s="235"/>
    </row>
  </sheetData>
  <sheetProtection algorithmName="SHA-512" hashValue="SNqVAAwym7rKyUDGuwOSjJl2wp6umsuoHlSXpEYi43kq6Y1wYhgLSS8O9EoHbddBcmjbN+4CLANhM2bEbP4rKQ==" saltValue="qfo8gWNb/0lPK5p3VS+09g==" spinCount="100000" sheet="1" formatCells="0" formatColumns="0" formatRows="0" selectLockedCells="1"/>
  <mergeCells count="19">
    <mergeCell ref="AJ8:AK8"/>
    <mergeCell ref="AJ1:AK1"/>
    <mergeCell ref="AJ4:AK4"/>
    <mergeCell ref="AJ5:AK5"/>
    <mergeCell ref="AJ6:AK6"/>
    <mergeCell ref="AJ7:AK7"/>
    <mergeCell ref="C3:D3"/>
    <mergeCell ref="C4:D4"/>
    <mergeCell ref="B9:D9"/>
    <mergeCell ref="B53:F64"/>
    <mergeCell ref="D7:F7"/>
    <mergeCell ref="A6:G6"/>
    <mergeCell ref="E1:G4"/>
    <mergeCell ref="H1:U1"/>
    <mergeCell ref="K3:S3"/>
    <mergeCell ref="K4:S4"/>
    <mergeCell ref="K5:S7"/>
    <mergeCell ref="K96:S98"/>
    <mergeCell ref="K93:S95"/>
  </mergeCells>
  <conditionalFormatting sqref="A35:A49">
    <cfRule type="expression" dxfId="12" priority="8" stopIfTrue="1">
      <formula>$E$10="NE"</formula>
    </cfRule>
  </conditionalFormatting>
  <conditionalFormatting sqref="A17:B34">
    <cfRule type="expression" dxfId="11" priority="70" stopIfTrue="1">
      <formula>$E$10="NE"</formula>
    </cfRule>
  </conditionalFormatting>
  <conditionalFormatting sqref="A7:D15 F10 A16:B16 A50:D52 A53:B53 A54:A64 A65:D68">
    <cfRule type="expression" dxfId="10" priority="183" stopIfTrue="1">
      <formula>$E$10="NE"</formula>
    </cfRule>
  </conditionalFormatting>
  <conditionalFormatting sqref="A11:D11">
    <cfRule type="expression" dxfId="9" priority="176">
      <formula>$B11=""</formula>
    </cfRule>
  </conditionalFormatting>
  <conditionalFormatting sqref="C16:E34">
    <cfRule type="expression" dxfId="8" priority="66" stopIfTrue="1">
      <formula>$E$10="NE"</formula>
    </cfRule>
  </conditionalFormatting>
  <conditionalFormatting sqref="D35:F49">
    <cfRule type="expression" dxfId="7" priority="5" stopIfTrue="1">
      <formula>$E$10="NE"</formula>
    </cfRule>
  </conditionalFormatting>
  <conditionalFormatting sqref="E11">
    <cfRule type="expression" dxfId="5" priority="157">
      <formula>$B11=""</formula>
    </cfRule>
    <cfRule type="expression" dxfId="4" priority="158" stopIfTrue="1">
      <formula>$E$10="NE"</formula>
    </cfRule>
  </conditionalFormatting>
  <conditionalFormatting sqref="F16">
    <cfRule type="expression" dxfId="3" priority="65" stopIfTrue="1">
      <formula>$E$10="NE"</formula>
    </cfRule>
  </conditionalFormatting>
  <conditionalFormatting sqref="G17">
    <cfRule type="expression" dxfId="2" priority="2">
      <formula>"g17&lt;&gt;"""""</formula>
    </cfRule>
  </conditionalFormatting>
  <conditionalFormatting sqref="G23">
    <cfRule type="expression" dxfId="1" priority="1">
      <formula>$B$23="--"</formula>
    </cfRule>
  </conditionalFormatting>
  <dataValidations count="3">
    <dataValidation type="decimal" allowBlank="1" showInputMessage="1" showErrorMessage="1" errorTitle="Hodnota indikátoru" error="Povolenou hodnotou indikátoru je pouze číslo. " sqref="E17:E49" xr:uid="{00000000-0002-0000-0300-000000000000}">
      <formula1>0</formula1>
      <formula2>9999999999999</formula2>
    </dataValidation>
    <dataValidation allowBlank="1" showInputMessage="1" showErrorMessage="1" errorTitle="Hodnota indikátoru" error="Povolenou hodnotou indikátoru je pouze číslo. " sqref="D17:D34" xr:uid="{00000000-0002-0000-0300-000001000000}"/>
    <dataValidation type="list" allowBlank="1" showInputMessage="1" showErrorMessage="1" sqref="F35:F49" xr:uid="{A3D90F56-F93B-4587-B54D-D1E6222E0E87}">
      <formula1>$V$1:$V$20</formula1>
    </dataValidation>
  </dataValidations>
  <pageMargins left="0.4" right="0.70866141732283472" top="0.78740157480314965" bottom="0.78740157480314965" header="0.31496062992125984" footer="0.31496062992125984"/>
  <pageSetup paperSize="9" scale="60" fitToHeight="0" orientation="portrait" verticalDpi="0" r:id="rId1"/>
  <headerFooter>
    <oddFooter>&amp;LŽádost o změnu závazných výstupů projektu&amp;R&amp;P/&amp;N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4" id="{715CAE38-CE14-4787-A6FE-9ACF67C32E3C}">
            <xm:f>'Projekt a žadatel'!$D$25="NE"</xm:f>
            <x14:dxf>
              <font>
                <color theme="0"/>
              </font>
            </x14:dxf>
          </x14:cfRule>
          <xm:sqref>E1 G5 G7:G14</xm:sqref>
        </x14:conditionalFormatting>
        <x14:conditionalFormatting xmlns:xm="http://schemas.microsoft.com/office/excel/2006/main">
          <x14:cfRule type="expression" priority="165" id="{50AA60BF-626A-43D0-91B3-AA3165DC915E}">
            <xm:f>'Projekt a žadatel'!$D$25="NE"</xm:f>
            <x14:dxf>
              <font>
                <color theme="0"/>
              </font>
            </x14:dxf>
          </x14:cfRule>
          <xm:sqref>H1:U9 H10:J11 T10:U11 K93:S98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/>
  <dimension ref="A1:EP25"/>
  <sheetViews>
    <sheetView showGridLines="0" showRowColHeaders="0" topLeftCell="CW1" workbookViewId="0">
      <pane ySplit="2" topLeftCell="A13" activePane="bottomLeft" state="frozen"/>
      <selection activeCell="B1" sqref="B1"/>
      <selection pane="bottomLeft" activeCell="DC21" sqref="DC21"/>
    </sheetView>
  </sheetViews>
  <sheetFormatPr defaultColWidth="9.33203125" defaultRowHeight="12.75"/>
  <cols>
    <col min="1" max="1" width="26.33203125" style="178" customWidth="1"/>
    <col min="2" max="3" width="10.1640625" style="178" bestFit="1" customWidth="1"/>
    <col min="4" max="4" width="17.83203125" style="178" customWidth="1"/>
    <col min="5" max="5" width="22" style="178" customWidth="1"/>
    <col min="6" max="6" width="10.1640625" style="178" bestFit="1" customWidth="1"/>
    <col min="7" max="7" width="32.6640625" style="178" customWidth="1"/>
    <col min="8" max="9" width="10.1640625" style="178" bestFit="1" customWidth="1"/>
    <col min="10" max="10" width="10.83203125" style="178" bestFit="1" customWidth="1"/>
    <col min="11" max="12" width="10.1640625" style="178" bestFit="1" customWidth="1"/>
    <col min="13" max="13" width="48.1640625" style="178" customWidth="1"/>
    <col min="14" max="15" width="10.1640625" style="178" bestFit="1" customWidth="1"/>
    <col min="16" max="16" width="11.83203125" style="178" bestFit="1" customWidth="1"/>
    <col min="17" max="17" width="10.1640625" style="178" bestFit="1" customWidth="1"/>
    <col min="18" max="18" width="10.5" style="178" bestFit="1" customWidth="1"/>
    <col min="19" max="20" width="10.1640625" style="178" bestFit="1" customWidth="1"/>
    <col min="21" max="21" width="11.5" style="178" bestFit="1" customWidth="1"/>
    <col min="22" max="25" width="10.1640625" style="178" bestFit="1" customWidth="1"/>
    <col min="26" max="27" width="13.5" style="178" bestFit="1" customWidth="1"/>
    <col min="28" max="28" width="15.5" style="178" bestFit="1" customWidth="1"/>
    <col min="29" max="29" width="13.83203125" style="178" bestFit="1" customWidth="1"/>
    <col min="30" max="30" width="12.33203125" style="178" bestFit="1" customWidth="1"/>
    <col min="31" max="31" width="14.33203125" style="178" bestFit="1" customWidth="1"/>
    <col min="32" max="32" width="13.5" style="178" bestFit="1" customWidth="1"/>
    <col min="33" max="33" width="15.5" style="178" bestFit="1" customWidth="1"/>
    <col min="34" max="34" width="15.33203125" style="178" customWidth="1"/>
    <col min="35" max="36" width="12.33203125" style="178" bestFit="1" customWidth="1"/>
    <col min="37" max="37" width="9.6640625" style="178" customWidth="1"/>
    <col min="38" max="39" width="13.5" style="178" bestFit="1" customWidth="1"/>
    <col min="40" max="40" width="12.33203125" style="178" bestFit="1" customWidth="1"/>
    <col min="41" max="42" width="12.1640625" style="178" customWidth="1"/>
    <col min="43" max="44" width="12.33203125" style="178" bestFit="1" customWidth="1"/>
    <col min="45" max="45" width="15.5" style="178" bestFit="1" customWidth="1"/>
    <col min="46" max="46" width="14.33203125" style="178" customWidth="1"/>
    <col min="47" max="50" width="10.1640625" style="178" bestFit="1" customWidth="1"/>
    <col min="51" max="52" width="21.5" style="178" bestFit="1" customWidth="1"/>
    <col min="53" max="53" width="10.1640625" style="178" bestFit="1" customWidth="1"/>
    <col min="54" max="54" width="10.33203125" style="178" bestFit="1" customWidth="1"/>
    <col min="55" max="55" width="10.1640625" style="178" bestFit="1" customWidth="1"/>
    <col min="56" max="56" width="10.33203125" style="178" bestFit="1" customWidth="1"/>
    <col min="57" max="57" width="10.1640625" style="178" bestFit="1" customWidth="1"/>
    <col min="58" max="58" width="10.33203125" style="178" bestFit="1" customWidth="1"/>
    <col min="59" max="59" width="10.1640625" style="178" bestFit="1" customWidth="1"/>
    <col min="60" max="60" width="10.33203125" style="178" bestFit="1" customWidth="1"/>
    <col min="61" max="61" width="10.1640625" style="178" bestFit="1" customWidth="1"/>
    <col min="62" max="62" width="10.33203125" style="178" bestFit="1" customWidth="1"/>
    <col min="63" max="66" width="10" style="178" customWidth="1"/>
    <col min="67" max="67" width="13.5" style="178" customWidth="1"/>
    <col min="68" max="68" width="13.1640625" style="178" customWidth="1"/>
    <col min="69" max="70" width="10.1640625" style="178" bestFit="1" customWidth="1"/>
    <col min="71" max="72" width="13" style="178" bestFit="1" customWidth="1"/>
    <col min="73" max="73" width="14.5" style="178" bestFit="1" customWidth="1"/>
    <col min="74" max="74" width="11.83203125" style="178" customWidth="1"/>
    <col min="75" max="80" width="10.1640625" style="178" bestFit="1" customWidth="1"/>
    <col min="81" max="81" width="10.5" style="178" bestFit="1" customWidth="1"/>
    <col min="82" max="82" width="14.1640625" style="178" bestFit="1" customWidth="1"/>
    <col min="83" max="83" width="10.1640625" style="178" bestFit="1" customWidth="1"/>
    <col min="84" max="84" width="13.83203125" style="178" bestFit="1" customWidth="1"/>
    <col min="85" max="87" width="10.1640625" style="178" bestFit="1" customWidth="1"/>
    <col min="88" max="143" width="9.5" style="178" bestFit="1" customWidth="1"/>
    <col min="144" max="16384" width="9.33203125" style="178"/>
  </cols>
  <sheetData>
    <row r="1" spans="1:146" s="176" customFormat="1">
      <c r="A1" s="180"/>
      <c r="B1" s="176">
        <f>COLUMN()</f>
        <v>2</v>
      </c>
      <c r="C1" s="176">
        <f>COLUMN()</f>
        <v>3</v>
      </c>
      <c r="D1" s="176">
        <f>COLUMN()</f>
        <v>4</v>
      </c>
      <c r="E1" s="176">
        <f>COLUMN()</f>
        <v>5</v>
      </c>
      <c r="F1" s="176">
        <f>COLUMN()</f>
        <v>6</v>
      </c>
      <c r="G1" s="176">
        <f>COLUMN()</f>
        <v>7</v>
      </c>
      <c r="H1" s="176">
        <f>COLUMN()</f>
        <v>8</v>
      </c>
      <c r="I1" s="176">
        <f>COLUMN()</f>
        <v>9</v>
      </c>
      <c r="J1" s="176">
        <f>COLUMN()</f>
        <v>10</v>
      </c>
      <c r="K1" s="176">
        <f>COLUMN()</f>
        <v>11</v>
      </c>
      <c r="L1" s="176">
        <f>COLUMN()</f>
        <v>12</v>
      </c>
      <c r="M1" s="176">
        <f>COLUMN()</f>
        <v>13</v>
      </c>
      <c r="N1" s="176">
        <f>COLUMN()</f>
        <v>14</v>
      </c>
      <c r="O1" s="176">
        <f>COLUMN()</f>
        <v>15</v>
      </c>
      <c r="P1" s="176">
        <f>COLUMN()</f>
        <v>16</v>
      </c>
      <c r="Q1" s="176">
        <f>COLUMN()</f>
        <v>17</v>
      </c>
      <c r="R1" s="176">
        <f>COLUMN()</f>
        <v>18</v>
      </c>
      <c r="S1" s="176">
        <f>COLUMN()</f>
        <v>19</v>
      </c>
      <c r="T1" s="176">
        <f>COLUMN()</f>
        <v>20</v>
      </c>
      <c r="U1" s="176">
        <f>COLUMN()</f>
        <v>21</v>
      </c>
      <c r="V1" s="176">
        <f>COLUMN()</f>
        <v>22</v>
      </c>
      <c r="W1" s="176">
        <f>COLUMN()</f>
        <v>23</v>
      </c>
      <c r="X1" s="176">
        <f>COLUMN()</f>
        <v>24</v>
      </c>
      <c r="Y1" s="176">
        <f>COLUMN()</f>
        <v>25</v>
      </c>
      <c r="Z1" s="176">
        <f>COLUMN()</f>
        <v>26</v>
      </c>
      <c r="AA1" s="176">
        <f>COLUMN()</f>
        <v>27</v>
      </c>
      <c r="AB1" s="176">
        <f>COLUMN()</f>
        <v>28</v>
      </c>
      <c r="AC1" s="176">
        <f>COLUMN()</f>
        <v>29</v>
      </c>
      <c r="AD1" s="176">
        <f>COLUMN()</f>
        <v>30</v>
      </c>
      <c r="AE1" s="176">
        <f>COLUMN()</f>
        <v>31</v>
      </c>
      <c r="AF1" s="176">
        <f>COLUMN()</f>
        <v>32</v>
      </c>
      <c r="AG1" s="176">
        <f>COLUMN()</f>
        <v>33</v>
      </c>
      <c r="AH1" s="176">
        <f>COLUMN()</f>
        <v>34</v>
      </c>
      <c r="AI1" s="176">
        <f>COLUMN()</f>
        <v>35</v>
      </c>
      <c r="AJ1" s="176">
        <f>COLUMN()</f>
        <v>36</v>
      </c>
      <c r="AK1" s="176">
        <f>COLUMN()</f>
        <v>37</v>
      </c>
      <c r="AL1" s="176">
        <f>COLUMN()</f>
        <v>38</v>
      </c>
      <c r="AM1" s="176">
        <f>COLUMN()</f>
        <v>39</v>
      </c>
      <c r="AN1" s="176">
        <f>COLUMN()</f>
        <v>40</v>
      </c>
      <c r="AO1" s="176">
        <f>COLUMN()</f>
        <v>41</v>
      </c>
      <c r="AP1" s="176">
        <f>COLUMN()</f>
        <v>42</v>
      </c>
      <c r="AQ1" s="176">
        <f>COLUMN()</f>
        <v>43</v>
      </c>
      <c r="AR1" s="176">
        <f>COLUMN()</f>
        <v>44</v>
      </c>
      <c r="AS1" s="176">
        <f>COLUMN()</f>
        <v>45</v>
      </c>
      <c r="AT1" s="176">
        <f>COLUMN()</f>
        <v>46</v>
      </c>
      <c r="AU1" s="176">
        <f>COLUMN()</f>
        <v>47</v>
      </c>
      <c r="AV1" s="176">
        <f>COLUMN()</f>
        <v>48</v>
      </c>
      <c r="AW1" s="176">
        <f>COLUMN()</f>
        <v>49</v>
      </c>
      <c r="AX1" s="176">
        <f>COLUMN()</f>
        <v>50</v>
      </c>
      <c r="AY1" s="176">
        <f>COLUMN()</f>
        <v>51</v>
      </c>
      <c r="AZ1" s="176">
        <f>COLUMN()</f>
        <v>52</v>
      </c>
      <c r="BA1" s="176">
        <f>COLUMN()</f>
        <v>53</v>
      </c>
      <c r="BB1" s="176">
        <f>COLUMN()</f>
        <v>54</v>
      </c>
      <c r="BC1" s="176">
        <f>COLUMN()</f>
        <v>55</v>
      </c>
      <c r="BD1" s="176">
        <f>COLUMN()</f>
        <v>56</v>
      </c>
      <c r="BE1" s="176">
        <f>COLUMN()</f>
        <v>57</v>
      </c>
      <c r="BF1" s="176">
        <f>COLUMN()</f>
        <v>58</v>
      </c>
      <c r="BG1" s="176">
        <f>COLUMN()</f>
        <v>59</v>
      </c>
      <c r="BH1" s="176">
        <f>COLUMN()</f>
        <v>60</v>
      </c>
      <c r="BI1" s="176">
        <f>COLUMN()</f>
        <v>61</v>
      </c>
      <c r="BJ1" s="176">
        <f>COLUMN()</f>
        <v>62</v>
      </c>
      <c r="BK1" s="176">
        <f>COLUMN()</f>
        <v>63</v>
      </c>
      <c r="BL1" s="176">
        <f>COLUMN()</f>
        <v>64</v>
      </c>
      <c r="BM1" s="176">
        <f>COLUMN()</f>
        <v>65</v>
      </c>
      <c r="BN1" s="176">
        <f>COLUMN()</f>
        <v>66</v>
      </c>
      <c r="BO1" s="176">
        <f>COLUMN()</f>
        <v>67</v>
      </c>
      <c r="BP1" s="176">
        <f>COLUMN()</f>
        <v>68</v>
      </c>
      <c r="BQ1" s="176">
        <f>COLUMN()</f>
        <v>69</v>
      </c>
      <c r="BR1" s="176">
        <f>COLUMN()</f>
        <v>70</v>
      </c>
      <c r="BS1" s="176">
        <f>COLUMN()</f>
        <v>71</v>
      </c>
      <c r="BT1" s="176">
        <f>COLUMN()</f>
        <v>72</v>
      </c>
      <c r="BU1" s="176">
        <f>COLUMN()</f>
        <v>73</v>
      </c>
      <c r="BV1" s="176">
        <f>COLUMN()</f>
        <v>74</v>
      </c>
      <c r="BW1" s="176">
        <f>COLUMN()</f>
        <v>75</v>
      </c>
      <c r="BX1" s="176">
        <f>COLUMN()</f>
        <v>76</v>
      </c>
      <c r="BY1" s="176">
        <f>COLUMN()</f>
        <v>77</v>
      </c>
      <c r="BZ1" s="176">
        <f>COLUMN()</f>
        <v>78</v>
      </c>
      <c r="CA1" s="176">
        <f>COLUMN()</f>
        <v>79</v>
      </c>
      <c r="CB1" s="176">
        <f>COLUMN()</f>
        <v>80</v>
      </c>
      <c r="CC1" s="176">
        <f>COLUMN()</f>
        <v>81</v>
      </c>
      <c r="CD1" s="176">
        <f>COLUMN()</f>
        <v>82</v>
      </c>
      <c r="CE1" s="176">
        <f>COLUMN()</f>
        <v>83</v>
      </c>
      <c r="CF1" s="176">
        <f>COLUMN()</f>
        <v>84</v>
      </c>
      <c r="CG1" s="176">
        <f>COLUMN()</f>
        <v>85</v>
      </c>
      <c r="CH1" s="176">
        <f>COLUMN()</f>
        <v>86</v>
      </c>
      <c r="CI1" s="176">
        <f>COLUMN()</f>
        <v>87</v>
      </c>
      <c r="CJ1" s="176">
        <f>COLUMN()</f>
        <v>88</v>
      </c>
      <c r="CK1" s="176">
        <f>COLUMN()</f>
        <v>89</v>
      </c>
      <c r="CL1" s="176">
        <f>COLUMN()</f>
        <v>90</v>
      </c>
      <c r="CM1" s="176">
        <f>COLUMN()</f>
        <v>91</v>
      </c>
      <c r="CN1" s="176">
        <f>COLUMN()</f>
        <v>92</v>
      </c>
      <c r="CO1" s="176">
        <f>COLUMN()</f>
        <v>93</v>
      </c>
      <c r="CP1" s="176">
        <f>COLUMN()</f>
        <v>94</v>
      </c>
      <c r="CQ1" s="176">
        <f>COLUMN()</f>
        <v>95</v>
      </c>
      <c r="CR1" s="176">
        <f>COLUMN()</f>
        <v>96</v>
      </c>
      <c r="CS1" s="176">
        <f>COLUMN()</f>
        <v>97</v>
      </c>
      <c r="CT1" s="176">
        <f>COLUMN()</f>
        <v>98</v>
      </c>
      <c r="CU1" s="176">
        <f>COLUMN()</f>
        <v>99</v>
      </c>
      <c r="CV1" s="176">
        <f>COLUMN()</f>
        <v>100</v>
      </c>
      <c r="CW1" s="176">
        <f>COLUMN()</f>
        <v>101</v>
      </c>
      <c r="CX1" s="176">
        <f>COLUMN()</f>
        <v>102</v>
      </c>
      <c r="CY1" s="176">
        <f>COLUMN()</f>
        <v>103</v>
      </c>
      <c r="CZ1" s="176">
        <f>COLUMN()</f>
        <v>104</v>
      </c>
      <c r="DA1" s="176">
        <f>COLUMN()</f>
        <v>105</v>
      </c>
      <c r="DB1" s="176">
        <f>COLUMN()</f>
        <v>106</v>
      </c>
      <c r="DC1" s="176">
        <f>COLUMN()</f>
        <v>107</v>
      </c>
      <c r="DD1" s="176">
        <f>COLUMN()</f>
        <v>108</v>
      </c>
      <c r="DE1" s="176">
        <f>COLUMN()</f>
        <v>109</v>
      </c>
      <c r="DF1" s="176">
        <f>COLUMN()</f>
        <v>110</v>
      </c>
      <c r="DG1" s="176">
        <f>COLUMN()</f>
        <v>111</v>
      </c>
      <c r="DH1" s="176">
        <f>COLUMN()</f>
        <v>112</v>
      </c>
      <c r="DI1" s="176">
        <f>COLUMN()</f>
        <v>113</v>
      </c>
      <c r="DJ1" s="176">
        <f>COLUMN()</f>
        <v>114</v>
      </c>
      <c r="DK1" s="176">
        <f>COLUMN()</f>
        <v>115</v>
      </c>
      <c r="DL1" s="176">
        <f>COLUMN()</f>
        <v>116</v>
      </c>
      <c r="DM1" s="176">
        <f>COLUMN()</f>
        <v>117</v>
      </c>
      <c r="DN1" s="176">
        <f>COLUMN()</f>
        <v>118</v>
      </c>
      <c r="DO1" s="176">
        <f>COLUMN()</f>
        <v>119</v>
      </c>
      <c r="DP1" s="176">
        <f>COLUMN()</f>
        <v>120</v>
      </c>
      <c r="DQ1" s="176">
        <f>COLUMN()</f>
        <v>121</v>
      </c>
      <c r="DR1" s="176">
        <f>COLUMN()</f>
        <v>122</v>
      </c>
      <c r="DS1" s="176">
        <f>COLUMN()</f>
        <v>123</v>
      </c>
      <c r="DT1" s="176">
        <f>COLUMN()</f>
        <v>124</v>
      </c>
      <c r="DU1" s="176">
        <f>COLUMN()</f>
        <v>125</v>
      </c>
      <c r="DV1" s="176">
        <f>COLUMN()</f>
        <v>126</v>
      </c>
      <c r="DW1" s="176">
        <f>COLUMN()</f>
        <v>127</v>
      </c>
      <c r="DX1" s="176">
        <f>COLUMN()</f>
        <v>128</v>
      </c>
      <c r="DY1" s="176">
        <f>COLUMN()</f>
        <v>129</v>
      </c>
      <c r="DZ1" s="176">
        <f>COLUMN()</f>
        <v>130</v>
      </c>
      <c r="EA1" s="176">
        <f>COLUMN()</f>
        <v>131</v>
      </c>
      <c r="EB1" s="176">
        <f>COLUMN()</f>
        <v>132</v>
      </c>
      <c r="EC1" s="176">
        <f>COLUMN()</f>
        <v>133</v>
      </c>
      <c r="ED1" s="176">
        <f>COLUMN()</f>
        <v>134</v>
      </c>
      <c r="EE1" s="176">
        <f>COLUMN()</f>
        <v>135</v>
      </c>
      <c r="EF1" s="176">
        <f>COLUMN()</f>
        <v>136</v>
      </c>
      <c r="EG1" s="176">
        <f>COLUMN()</f>
        <v>137</v>
      </c>
      <c r="EH1" s="176">
        <f>COLUMN()</f>
        <v>138</v>
      </c>
      <c r="EI1" s="176">
        <f>COLUMN()</f>
        <v>139</v>
      </c>
      <c r="EJ1" s="176">
        <f>COLUMN()</f>
        <v>140</v>
      </c>
      <c r="EK1" s="176">
        <f>COLUMN()</f>
        <v>141</v>
      </c>
      <c r="EL1" s="176">
        <f>COLUMN()</f>
        <v>142</v>
      </c>
      <c r="EM1" s="176">
        <f>COLUMN()</f>
        <v>143</v>
      </c>
    </row>
    <row r="2" spans="1:146" s="177" customFormat="1" ht="15">
      <c r="A2" s="177" t="s">
        <v>43</v>
      </c>
      <c r="B2" s="177" t="s">
        <v>41</v>
      </c>
      <c r="C2" s="177" t="s">
        <v>201</v>
      </c>
      <c r="D2" s="177" t="s">
        <v>51</v>
      </c>
      <c r="E2" s="177" t="s">
        <v>25</v>
      </c>
      <c r="F2" s="177" t="s">
        <v>52</v>
      </c>
      <c r="G2" s="177" t="s">
        <v>53</v>
      </c>
      <c r="H2" s="177" t="s">
        <v>54</v>
      </c>
      <c r="I2" s="177" t="s">
        <v>55</v>
      </c>
      <c r="J2" s="177" t="s">
        <v>56</v>
      </c>
      <c r="K2" s="177" t="s">
        <v>57</v>
      </c>
      <c r="L2" s="177" t="s">
        <v>4</v>
      </c>
      <c r="M2" s="177" t="s">
        <v>67</v>
      </c>
      <c r="N2" s="177" t="s">
        <v>58</v>
      </c>
      <c r="O2" s="177" t="s">
        <v>59</v>
      </c>
      <c r="P2" s="177" t="s">
        <v>60</v>
      </c>
      <c r="Q2" s="177" t="s">
        <v>61</v>
      </c>
      <c r="R2" s="177" t="s">
        <v>5</v>
      </c>
      <c r="S2" s="177" t="s">
        <v>62</v>
      </c>
      <c r="T2" s="177" t="s">
        <v>63</v>
      </c>
      <c r="U2" s="177" t="s">
        <v>64</v>
      </c>
      <c r="V2" s="177" t="s">
        <v>42</v>
      </c>
      <c r="W2" s="177" t="s">
        <v>65</v>
      </c>
      <c r="X2" s="177" t="s">
        <v>66</v>
      </c>
      <c r="Y2" s="177" t="s">
        <v>28</v>
      </c>
      <c r="Z2" s="181" t="s">
        <v>213</v>
      </c>
      <c r="AA2" s="181" t="s">
        <v>214</v>
      </c>
      <c r="AB2" s="182" t="s">
        <v>215</v>
      </c>
      <c r="AC2" s="181" t="s">
        <v>216</v>
      </c>
      <c r="AD2" s="181" t="s">
        <v>217</v>
      </c>
      <c r="AE2" s="182" t="s">
        <v>218</v>
      </c>
      <c r="AF2" s="181" t="s">
        <v>219</v>
      </c>
      <c r="AG2" s="181" t="s">
        <v>220</v>
      </c>
      <c r="AH2" s="181" t="s">
        <v>221</v>
      </c>
      <c r="AI2" s="181" t="s">
        <v>222</v>
      </c>
      <c r="AJ2" s="181" t="s">
        <v>223</v>
      </c>
      <c r="AK2" s="182" t="s">
        <v>224</v>
      </c>
      <c r="AL2" s="183" t="s">
        <v>225</v>
      </c>
      <c r="AM2" s="183" t="s">
        <v>226</v>
      </c>
      <c r="AN2" s="183" t="s">
        <v>227</v>
      </c>
      <c r="AO2" s="183" t="s">
        <v>228</v>
      </c>
      <c r="AP2" s="184" t="s">
        <v>229</v>
      </c>
      <c r="AQ2" s="183" t="s">
        <v>158</v>
      </c>
      <c r="AR2" s="183" t="s">
        <v>69</v>
      </c>
      <c r="AS2" s="183" t="s">
        <v>230</v>
      </c>
      <c r="AT2" s="183" t="s">
        <v>231</v>
      </c>
      <c r="AU2" s="183" t="s">
        <v>232</v>
      </c>
      <c r="AV2" s="183" t="s">
        <v>70</v>
      </c>
      <c r="AW2" s="183" t="s">
        <v>233</v>
      </c>
      <c r="AX2" s="183" t="s">
        <v>234</v>
      </c>
      <c r="AY2" s="183" t="s">
        <v>235</v>
      </c>
      <c r="AZ2" s="183" t="s">
        <v>236</v>
      </c>
      <c r="BA2" s="183" t="s">
        <v>237</v>
      </c>
      <c r="BB2" s="183" t="s">
        <v>238</v>
      </c>
      <c r="BC2" s="183" t="s">
        <v>239</v>
      </c>
      <c r="BD2" s="183" t="s">
        <v>240</v>
      </c>
      <c r="BE2" s="183" t="s">
        <v>241</v>
      </c>
      <c r="BF2" s="183" t="s">
        <v>242</v>
      </c>
      <c r="BG2" s="183" t="s">
        <v>243</v>
      </c>
      <c r="BH2" s="183" t="s">
        <v>244</v>
      </c>
      <c r="BI2" s="183" t="s">
        <v>245</v>
      </c>
      <c r="BJ2" s="183" t="s">
        <v>246</v>
      </c>
      <c r="BK2" s="183" t="s">
        <v>247</v>
      </c>
      <c r="BL2" s="183" t="s">
        <v>248</v>
      </c>
      <c r="BM2" s="177">
        <v>5.16</v>
      </c>
      <c r="BN2" s="177">
        <v>5.16</v>
      </c>
      <c r="BO2" s="177">
        <v>5.17</v>
      </c>
      <c r="BP2" s="177">
        <v>5.17</v>
      </c>
      <c r="BQ2" s="184" t="s">
        <v>147</v>
      </c>
      <c r="BR2" s="183" t="s">
        <v>249</v>
      </c>
      <c r="BS2" s="185" t="s">
        <v>148</v>
      </c>
      <c r="BT2" s="179" t="s">
        <v>258</v>
      </c>
      <c r="BU2" s="178" t="s">
        <v>259</v>
      </c>
      <c r="BV2" s="178" t="s">
        <v>260</v>
      </c>
      <c r="BW2" s="178" t="s">
        <v>261</v>
      </c>
      <c r="BX2" s="178" t="s">
        <v>262</v>
      </c>
      <c r="BY2" s="178" t="s">
        <v>263</v>
      </c>
      <c r="BZ2" s="178" t="s">
        <v>264</v>
      </c>
      <c r="CA2" s="178" t="s">
        <v>265</v>
      </c>
      <c r="CB2" s="178" t="s">
        <v>266</v>
      </c>
      <c r="CC2" s="178" t="s">
        <v>267</v>
      </c>
      <c r="CD2" s="178" t="s">
        <v>268</v>
      </c>
      <c r="CE2" s="178" t="s">
        <v>269</v>
      </c>
      <c r="CF2" s="178" t="s">
        <v>270</v>
      </c>
      <c r="CG2" s="178" t="s">
        <v>271</v>
      </c>
      <c r="CH2" s="178" t="s">
        <v>272</v>
      </c>
      <c r="CI2" s="178" t="s">
        <v>273</v>
      </c>
      <c r="CJ2" s="178" t="s">
        <v>274</v>
      </c>
      <c r="CK2" s="178" t="s">
        <v>275</v>
      </c>
      <c r="CL2" s="178" t="s">
        <v>276</v>
      </c>
      <c r="CM2" s="178" t="s">
        <v>277</v>
      </c>
      <c r="CN2" s="178" t="s">
        <v>278</v>
      </c>
      <c r="CO2" s="178" t="s">
        <v>279</v>
      </c>
      <c r="CP2" s="178" t="s">
        <v>280</v>
      </c>
      <c r="CQ2" s="178" t="s">
        <v>281</v>
      </c>
      <c r="CR2" s="178" t="s">
        <v>282</v>
      </c>
      <c r="CS2" s="178" t="s">
        <v>283</v>
      </c>
      <c r="CT2" s="178" t="s">
        <v>284</v>
      </c>
      <c r="CU2" s="178" t="s">
        <v>285</v>
      </c>
      <c r="CV2" s="178" t="s">
        <v>286</v>
      </c>
      <c r="CW2" s="178" t="s">
        <v>287</v>
      </c>
      <c r="CX2" s="178" t="s">
        <v>288</v>
      </c>
      <c r="CY2" s="178" t="s">
        <v>289</v>
      </c>
      <c r="CZ2" s="178" t="s">
        <v>290</v>
      </c>
      <c r="DA2" s="178" t="s">
        <v>291</v>
      </c>
      <c r="DB2" s="178" t="s">
        <v>292</v>
      </c>
      <c r="DC2" s="178" t="s">
        <v>293</v>
      </c>
      <c r="DD2" s="178" t="s">
        <v>294</v>
      </c>
      <c r="DE2" s="178" t="s">
        <v>295</v>
      </c>
      <c r="DF2" s="178" t="s">
        <v>296</v>
      </c>
      <c r="DG2" s="178" t="s">
        <v>297</v>
      </c>
      <c r="DH2" s="178" t="s">
        <v>298</v>
      </c>
      <c r="DI2" s="178" t="s">
        <v>299</v>
      </c>
      <c r="DJ2" s="178" t="s">
        <v>300</v>
      </c>
      <c r="DK2" s="178" t="s">
        <v>301</v>
      </c>
      <c r="DL2" s="178" t="s">
        <v>302</v>
      </c>
      <c r="DM2" s="178" t="s">
        <v>303</v>
      </c>
      <c r="DN2" s="178" t="s">
        <v>304</v>
      </c>
      <c r="DO2" s="178" t="s">
        <v>305</v>
      </c>
      <c r="DP2" s="178" t="s">
        <v>306</v>
      </c>
      <c r="DQ2" s="178" t="s">
        <v>307</v>
      </c>
      <c r="DR2" s="178" t="s">
        <v>308</v>
      </c>
      <c r="DS2" s="178" t="s">
        <v>309</v>
      </c>
      <c r="DT2" s="178" t="s">
        <v>310</v>
      </c>
      <c r="DU2" s="178" t="s">
        <v>311</v>
      </c>
      <c r="DV2" s="178" t="s">
        <v>312</v>
      </c>
      <c r="DW2" s="178" t="s">
        <v>313</v>
      </c>
      <c r="DX2" s="178" t="s">
        <v>314</v>
      </c>
      <c r="DY2" s="178" t="s">
        <v>315</v>
      </c>
      <c r="DZ2" s="178" t="s">
        <v>316</v>
      </c>
      <c r="EA2" s="178" t="s">
        <v>317</v>
      </c>
      <c r="EB2" s="178" t="s">
        <v>318</v>
      </c>
      <c r="EC2" s="178" t="s">
        <v>319</v>
      </c>
      <c r="ED2" s="178" t="s">
        <v>320</v>
      </c>
      <c r="EE2" s="178" t="s">
        <v>321</v>
      </c>
      <c r="EF2" s="178" t="s">
        <v>322</v>
      </c>
      <c r="EG2" s="178" t="s">
        <v>323</v>
      </c>
      <c r="EH2" s="178" t="s">
        <v>324</v>
      </c>
      <c r="EI2" s="178" t="s">
        <v>325</v>
      </c>
      <c r="EJ2" s="178" t="s">
        <v>326</v>
      </c>
      <c r="EK2" s="178" t="s">
        <v>327</v>
      </c>
      <c r="EL2" s="178" t="s">
        <v>328</v>
      </c>
      <c r="EM2" s="178" t="s">
        <v>329</v>
      </c>
      <c r="EN2" s="178" t="s">
        <v>330</v>
      </c>
    </row>
    <row r="3" spans="1:146" ht="15">
      <c r="A3" s="178" t="str">
        <f>CONCATENATE("MIZPP",B3,E3,C3)</f>
        <v>MIZPP00149629204A</v>
      </c>
      <c r="B3" s="186" t="s">
        <v>156</v>
      </c>
      <c r="C3" s="187" t="s">
        <v>200</v>
      </c>
      <c r="D3" s="186" t="s">
        <v>414</v>
      </c>
      <c r="E3" s="186">
        <v>49629204</v>
      </c>
      <c r="F3" s="186" t="s">
        <v>423</v>
      </c>
      <c r="H3" s="187"/>
      <c r="L3" s="188"/>
      <c r="M3" s="186" t="s">
        <v>423</v>
      </c>
      <c r="N3" s="187"/>
      <c r="O3" s="188"/>
      <c r="P3" s="187"/>
      <c r="Q3" s="186" t="s">
        <v>441</v>
      </c>
      <c r="S3" s="187"/>
      <c r="T3" s="187"/>
      <c r="Y3" s="186" t="s">
        <v>452</v>
      </c>
      <c r="Z3" s="189">
        <v>0</v>
      </c>
      <c r="AA3" s="189">
        <v>25800</v>
      </c>
      <c r="AB3" s="182">
        <v>25800</v>
      </c>
      <c r="AC3" s="189">
        <v>2400</v>
      </c>
      <c r="AD3" s="189">
        <v>0</v>
      </c>
      <c r="AE3" s="182">
        <f>+AC3+AD3</f>
        <v>2400</v>
      </c>
      <c r="AF3" s="189">
        <v>2000</v>
      </c>
      <c r="AG3" s="185"/>
      <c r="AK3" s="182">
        <f>+AF3</f>
        <v>2000</v>
      </c>
      <c r="AL3" s="185" t="s">
        <v>29</v>
      </c>
      <c r="AM3" s="185" t="s">
        <v>29</v>
      </c>
      <c r="AN3" s="185" t="s">
        <v>29</v>
      </c>
      <c r="AO3" s="186" t="s">
        <v>29</v>
      </c>
      <c r="AP3" s="182">
        <v>0</v>
      </c>
      <c r="AQ3" s="189">
        <v>1300</v>
      </c>
      <c r="AR3" s="189">
        <v>0</v>
      </c>
      <c r="AS3" s="189">
        <v>800</v>
      </c>
      <c r="AT3" s="189">
        <v>0</v>
      </c>
      <c r="AU3" s="189">
        <v>0</v>
      </c>
      <c r="AV3" s="189">
        <v>0</v>
      </c>
      <c r="AW3" s="189">
        <v>0</v>
      </c>
      <c r="AX3" s="189">
        <v>0</v>
      </c>
      <c r="AY3" s="186" t="s">
        <v>478</v>
      </c>
      <c r="AZ3" s="186">
        <v>4500</v>
      </c>
      <c r="BA3" s="186" t="s">
        <v>479</v>
      </c>
      <c r="BB3" s="186">
        <v>32690</v>
      </c>
      <c r="BC3" s="186" t="s">
        <v>480</v>
      </c>
      <c r="BD3" s="186">
        <v>11280</v>
      </c>
      <c r="BE3" s="186" t="s">
        <v>481</v>
      </c>
      <c r="BF3" s="186">
        <v>18820</v>
      </c>
      <c r="BG3" s="186" t="s">
        <v>482</v>
      </c>
      <c r="BH3" s="186">
        <v>20700</v>
      </c>
      <c r="BI3" s="186"/>
      <c r="BJ3" s="186"/>
      <c r="BK3" s="186"/>
      <c r="BL3" s="186"/>
      <c r="BM3" s="186"/>
      <c r="BN3" s="186"/>
      <c r="BO3" s="186"/>
      <c r="BP3" s="186"/>
      <c r="BQ3" s="182"/>
      <c r="BR3" s="178">
        <v>15710</v>
      </c>
      <c r="BS3" s="190">
        <v>136000</v>
      </c>
      <c r="BT3" s="186">
        <v>171040</v>
      </c>
      <c r="BU3" s="181" t="s">
        <v>520</v>
      </c>
      <c r="BV3" s="181">
        <v>1.2</v>
      </c>
      <c r="BW3" s="181" t="s">
        <v>98</v>
      </c>
      <c r="BX3" s="181" t="s">
        <v>521</v>
      </c>
      <c r="BY3" s="181" t="s">
        <v>522</v>
      </c>
      <c r="BZ3" s="181">
        <v>0.34</v>
      </c>
      <c r="CA3" s="181" t="s">
        <v>98</v>
      </c>
      <c r="CB3" s="181" t="s">
        <v>521</v>
      </c>
      <c r="CC3" s="181" t="s">
        <v>523</v>
      </c>
      <c r="CD3" s="181">
        <v>24</v>
      </c>
      <c r="CE3" s="181" t="s">
        <v>94</v>
      </c>
      <c r="CF3" s="181" t="s">
        <v>524</v>
      </c>
      <c r="CG3" s="181" t="s">
        <v>376</v>
      </c>
      <c r="CH3" s="181">
        <v>3</v>
      </c>
      <c r="CI3" s="181" t="s">
        <v>94</v>
      </c>
      <c r="CJ3" s="181" t="s">
        <v>525</v>
      </c>
      <c r="CK3" s="181" t="s">
        <v>526</v>
      </c>
      <c r="CL3" s="181">
        <v>2</v>
      </c>
      <c r="CM3" s="181" t="s">
        <v>94</v>
      </c>
      <c r="CN3" s="181" t="s">
        <v>527</v>
      </c>
      <c r="CO3" s="181" t="s">
        <v>528</v>
      </c>
      <c r="CP3" s="181">
        <v>25</v>
      </c>
      <c r="CQ3" s="181" t="s">
        <v>352</v>
      </c>
      <c r="CR3" s="181" t="s">
        <v>529</v>
      </c>
      <c r="CS3" s="181" t="s">
        <v>97</v>
      </c>
      <c r="CT3" s="181">
        <v>6</v>
      </c>
      <c r="CU3" s="181" t="s">
        <v>94</v>
      </c>
      <c r="CV3" s="181" t="s">
        <v>530</v>
      </c>
      <c r="CW3" s="181" t="s">
        <v>374</v>
      </c>
      <c r="CX3" s="181">
        <v>2000</v>
      </c>
      <c r="CY3" s="181" t="s">
        <v>531</v>
      </c>
      <c r="CZ3" s="181" t="s">
        <v>532</v>
      </c>
      <c r="DA3" s="181" t="s">
        <v>533</v>
      </c>
      <c r="DB3" s="181">
        <v>2</v>
      </c>
      <c r="DC3" s="181" t="s">
        <v>94</v>
      </c>
      <c r="DD3" s="181" t="s">
        <v>534</v>
      </c>
      <c r="DE3" s="181" t="s">
        <v>535</v>
      </c>
      <c r="DF3" s="181">
        <v>1000</v>
      </c>
      <c r="DG3" s="181" t="s">
        <v>536</v>
      </c>
      <c r="DH3" s="181" t="s">
        <v>537</v>
      </c>
      <c r="DI3" s="181" t="s">
        <v>133</v>
      </c>
      <c r="DJ3" s="181">
        <v>25</v>
      </c>
      <c r="DK3" s="181" t="s">
        <v>134</v>
      </c>
      <c r="DL3" s="181" t="s">
        <v>538</v>
      </c>
      <c r="DM3" s="181" t="s">
        <v>539</v>
      </c>
      <c r="DN3" s="181">
        <v>100</v>
      </c>
      <c r="DO3" s="181" t="s">
        <v>369</v>
      </c>
      <c r="DP3" s="181" t="s">
        <v>540</v>
      </c>
      <c r="DQ3" s="181" t="s">
        <v>29</v>
      </c>
      <c r="DR3" s="181" t="s">
        <v>29</v>
      </c>
      <c r="DS3" s="181" t="s">
        <v>29</v>
      </c>
      <c r="DT3" s="181" t="s">
        <v>29</v>
      </c>
      <c r="DU3" s="181" t="s">
        <v>29</v>
      </c>
      <c r="DV3" s="181" t="s">
        <v>29</v>
      </c>
      <c r="DW3" s="181" t="s">
        <v>29</v>
      </c>
      <c r="DX3" s="181" t="s">
        <v>29</v>
      </c>
      <c r="DY3" s="181" t="s">
        <v>29</v>
      </c>
      <c r="DZ3" s="181" t="s">
        <v>29</v>
      </c>
      <c r="EA3" s="181" t="s">
        <v>29</v>
      </c>
      <c r="EB3" s="181" t="s">
        <v>29</v>
      </c>
      <c r="EC3" s="181" t="s">
        <v>29</v>
      </c>
      <c r="ED3" s="181" t="s">
        <v>29</v>
      </c>
      <c r="EE3" s="181" t="s">
        <v>29</v>
      </c>
      <c r="EF3" s="181" t="s">
        <v>29</v>
      </c>
      <c r="EG3" s="181" t="s">
        <v>29</v>
      </c>
      <c r="EH3" s="181" t="s">
        <v>29</v>
      </c>
      <c r="EI3" s="181" t="s">
        <v>29</v>
      </c>
      <c r="EJ3" s="181" t="s">
        <v>29</v>
      </c>
      <c r="EK3" s="181" t="s">
        <v>29</v>
      </c>
      <c r="EL3" s="181" t="s">
        <v>29</v>
      </c>
      <c r="EM3" s="181" t="s">
        <v>29</v>
      </c>
      <c r="EN3" s="181" t="s">
        <v>29</v>
      </c>
    </row>
    <row r="4" spans="1:146" ht="15">
      <c r="A4" s="178" t="str">
        <f t="shared" ref="A4:A25" si="0">CONCATENATE("MIZPP",B4,E4,C4)</f>
        <v>MIZPP00461388122A</v>
      </c>
      <c r="B4" s="186" t="s">
        <v>360</v>
      </c>
      <c r="C4" s="187" t="s">
        <v>200</v>
      </c>
      <c r="D4" s="186" t="s">
        <v>415</v>
      </c>
      <c r="E4" s="186">
        <v>61388122</v>
      </c>
      <c r="F4" s="186" t="s">
        <v>424</v>
      </c>
      <c r="H4" s="187"/>
      <c r="L4" s="188"/>
      <c r="M4" s="186" t="s">
        <v>424</v>
      </c>
      <c r="N4" s="187"/>
      <c r="O4" s="188"/>
      <c r="P4" s="187"/>
      <c r="Q4" s="186" t="s">
        <v>442</v>
      </c>
      <c r="S4" s="187"/>
      <c r="T4" s="187"/>
      <c r="Y4" s="186" t="s">
        <v>453</v>
      </c>
      <c r="Z4" s="189">
        <v>58444</v>
      </c>
      <c r="AA4" s="189">
        <v>0</v>
      </c>
      <c r="AB4" s="182">
        <v>58444</v>
      </c>
      <c r="AC4" s="189">
        <v>0</v>
      </c>
      <c r="AD4" s="189">
        <v>0</v>
      </c>
      <c r="AE4" s="182">
        <f t="shared" ref="AE4:AE25" si="1">+AC4+AD4</f>
        <v>0</v>
      </c>
      <c r="AF4" s="189">
        <v>7000</v>
      </c>
      <c r="AG4" s="185"/>
      <c r="AK4" s="182">
        <f t="shared" ref="AK4:AK25" si="2">+AF4</f>
        <v>7000</v>
      </c>
      <c r="AL4" s="185" t="s">
        <v>29</v>
      </c>
      <c r="AM4" s="185" t="s">
        <v>29</v>
      </c>
      <c r="AN4" s="185" t="s">
        <v>29</v>
      </c>
      <c r="AO4" s="186" t="s">
        <v>29</v>
      </c>
      <c r="AP4" s="182">
        <v>0</v>
      </c>
      <c r="AQ4" s="189">
        <v>0</v>
      </c>
      <c r="AR4" s="189">
        <v>0</v>
      </c>
      <c r="AS4" s="189">
        <v>0</v>
      </c>
      <c r="AT4" s="189">
        <v>0</v>
      </c>
      <c r="AU4" s="189">
        <v>1000</v>
      </c>
      <c r="AV4" s="189">
        <v>10000</v>
      </c>
      <c r="AW4" s="189">
        <v>0</v>
      </c>
      <c r="AX4" s="189">
        <v>0</v>
      </c>
      <c r="AY4" s="186" t="s">
        <v>483</v>
      </c>
      <c r="AZ4" s="186">
        <v>3500</v>
      </c>
      <c r="BA4" s="186" t="s">
        <v>484</v>
      </c>
      <c r="BB4" s="186">
        <v>14000</v>
      </c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2"/>
      <c r="BR4" s="178">
        <v>0</v>
      </c>
      <c r="BS4" s="190">
        <v>93944</v>
      </c>
      <c r="BT4" s="186">
        <v>51547</v>
      </c>
      <c r="BU4" s="181" t="s">
        <v>541</v>
      </c>
      <c r="BV4" s="181">
        <v>16</v>
      </c>
      <c r="BW4" s="181" t="s">
        <v>94</v>
      </c>
      <c r="BX4" s="181" t="s">
        <v>527</v>
      </c>
      <c r="BY4" s="181" t="s">
        <v>542</v>
      </c>
      <c r="BZ4" s="181">
        <v>160</v>
      </c>
      <c r="CA4" s="181" t="s">
        <v>352</v>
      </c>
      <c r="CB4" s="181" t="s">
        <v>529</v>
      </c>
      <c r="CC4" s="181" t="s">
        <v>29</v>
      </c>
      <c r="CD4" s="181" t="s">
        <v>29</v>
      </c>
      <c r="CE4" s="181" t="s">
        <v>29</v>
      </c>
      <c r="CF4" s="181" t="s">
        <v>29</v>
      </c>
      <c r="CG4" s="181" t="s">
        <v>29</v>
      </c>
      <c r="CH4" s="181" t="s">
        <v>29</v>
      </c>
      <c r="CI4" s="181" t="s">
        <v>29</v>
      </c>
      <c r="CJ4" s="181" t="s">
        <v>29</v>
      </c>
      <c r="CK4" s="181" t="s">
        <v>29</v>
      </c>
      <c r="CL4" s="181" t="s">
        <v>29</v>
      </c>
      <c r="CM4" s="181" t="s">
        <v>29</v>
      </c>
      <c r="CN4" s="181" t="s">
        <v>29</v>
      </c>
      <c r="CO4" s="181" t="s">
        <v>29</v>
      </c>
      <c r="CP4" s="181" t="s">
        <v>29</v>
      </c>
      <c r="CQ4" s="181" t="s">
        <v>29</v>
      </c>
      <c r="CR4" s="181" t="s">
        <v>29</v>
      </c>
      <c r="CS4" s="181" t="s">
        <v>29</v>
      </c>
      <c r="CT4" s="181" t="s">
        <v>29</v>
      </c>
      <c r="CU4" s="181" t="s">
        <v>29</v>
      </c>
      <c r="CV4" s="181" t="s">
        <v>29</v>
      </c>
      <c r="CW4" s="181" t="s">
        <v>29</v>
      </c>
      <c r="CX4" s="181" t="s">
        <v>29</v>
      </c>
      <c r="CY4" s="181" t="s">
        <v>29</v>
      </c>
      <c r="CZ4" s="181" t="s">
        <v>29</v>
      </c>
      <c r="DA4" s="181" t="s">
        <v>29</v>
      </c>
      <c r="DB4" s="181" t="s">
        <v>29</v>
      </c>
      <c r="DC4" s="181" t="s">
        <v>29</v>
      </c>
      <c r="DD4" s="181" t="s">
        <v>29</v>
      </c>
      <c r="DE4" s="181" t="s">
        <v>29</v>
      </c>
      <c r="DF4" s="181" t="s">
        <v>29</v>
      </c>
      <c r="DG4" s="181" t="s">
        <v>29</v>
      </c>
      <c r="DH4" s="181" t="s">
        <v>29</v>
      </c>
      <c r="DI4" s="181" t="s">
        <v>29</v>
      </c>
      <c r="DJ4" s="181" t="s">
        <v>29</v>
      </c>
      <c r="DK4" s="181" t="s">
        <v>29</v>
      </c>
      <c r="DL4" s="181" t="s">
        <v>29</v>
      </c>
      <c r="DM4" s="181" t="s">
        <v>29</v>
      </c>
      <c r="DN4" s="181" t="s">
        <v>29</v>
      </c>
      <c r="DO4" s="181" t="s">
        <v>29</v>
      </c>
      <c r="DP4" s="181" t="s">
        <v>29</v>
      </c>
      <c r="DQ4" s="181" t="s">
        <v>29</v>
      </c>
      <c r="DR4" s="181" t="s">
        <v>29</v>
      </c>
      <c r="DS4" s="181" t="s">
        <v>29</v>
      </c>
      <c r="DT4" s="181" t="s">
        <v>29</v>
      </c>
      <c r="DU4" s="181" t="s">
        <v>29</v>
      </c>
      <c r="DV4" s="181" t="s">
        <v>29</v>
      </c>
      <c r="DW4" s="181" t="s">
        <v>29</v>
      </c>
      <c r="DX4" s="181" t="s">
        <v>29</v>
      </c>
      <c r="DY4" s="181" t="s">
        <v>29</v>
      </c>
      <c r="DZ4" s="181" t="s">
        <v>29</v>
      </c>
      <c r="EA4" s="181" t="s">
        <v>29</v>
      </c>
      <c r="EB4" s="181" t="s">
        <v>29</v>
      </c>
      <c r="EC4" s="181" t="s">
        <v>29</v>
      </c>
      <c r="ED4" s="181" t="s">
        <v>29</v>
      </c>
      <c r="EE4" s="181" t="s">
        <v>29</v>
      </c>
      <c r="EF4" s="181" t="s">
        <v>29</v>
      </c>
      <c r="EG4" s="181" t="s">
        <v>29</v>
      </c>
      <c r="EH4" s="181" t="s">
        <v>29</v>
      </c>
      <c r="EI4" s="181" t="s">
        <v>29</v>
      </c>
      <c r="EJ4" s="181" t="s">
        <v>29</v>
      </c>
      <c r="EK4" s="181" t="s">
        <v>29</v>
      </c>
      <c r="EL4" s="181" t="s">
        <v>29</v>
      </c>
      <c r="EM4" s="181" t="s">
        <v>29</v>
      </c>
      <c r="EN4" s="181" t="s">
        <v>29</v>
      </c>
    </row>
    <row r="5" spans="1:146" ht="15">
      <c r="A5" s="178" t="str">
        <f t="shared" si="0"/>
        <v>MIZPP01070947805A</v>
      </c>
      <c r="B5" s="186" t="s">
        <v>398</v>
      </c>
      <c r="C5" s="187" t="s">
        <v>200</v>
      </c>
      <c r="D5" s="186" t="s">
        <v>379</v>
      </c>
      <c r="E5" s="186">
        <v>70947805</v>
      </c>
      <c r="F5" s="186" t="s">
        <v>425</v>
      </c>
      <c r="H5" s="187"/>
      <c r="L5" s="188"/>
      <c r="M5" s="186" t="s">
        <v>425</v>
      </c>
      <c r="N5" s="187"/>
      <c r="O5" s="188"/>
      <c r="P5" s="187"/>
      <c r="Q5" s="186" t="s">
        <v>206</v>
      </c>
      <c r="S5" s="187"/>
      <c r="T5" s="187"/>
      <c r="Y5" s="186" t="s">
        <v>454</v>
      </c>
      <c r="Z5" s="189">
        <v>135000</v>
      </c>
      <c r="AA5" s="189">
        <v>20000</v>
      </c>
      <c r="AB5" s="182">
        <v>155000</v>
      </c>
      <c r="AC5" s="189">
        <v>1000</v>
      </c>
      <c r="AD5" s="189">
        <v>0</v>
      </c>
      <c r="AE5" s="182">
        <f t="shared" si="1"/>
        <v>1000</v>
      </c>
      <c r="AF5" s="189">
        <v>12000</v>
      </c>
      <c r="AG5" s="185"/>
      <c r="AK5" s="182">
        <f t="shared" si="2"/>
        <v>12000</v>
      </c>
      <c r="AL5" s="185" t="s">
        <v>29</v>
      </c>
      <c r="AM5" s="185" t="s">
        <v>29</v>
      </c>
      <c r="AN5" s="185" t="s">
        <v>29</v>
      </c>
      <c r="AO5" s="186" t="s">
        <v>29</v>
      </c>
      <c r="AP5" s="182">
        <v>0</v>
      </c>
      <c r="AQ5" s="189">
        <v>6000</v>
      </c>
      <c r="AR5" s="189">
        <v>18000</v>
      </c>
      <c r="AS5" s="189">
        <v>9000</v>
      </c>
      <c r="AT5" s="189">
        <v>8000</v>
      </c>
      <c r="AU5" s="189">
        <v>5000</v>
      </c>
      <c r="AV5" s="189">
        <v>0</v>
      </c>
      <c r="AW5" s="189">
        <v>1600</v>
      </c>
      <c r="AX5" s="189">
        <v>4000</v>
      </c>
      <c r="AY5" s="186" t="s">
        <v>485</v>
      </c>
      <c r="AZ5" s="186">
        <v>30000</v>
      </c>
      <c r="BA5" s="186" t="s">
        <v>250</v>
      </c>
      <c r="BB5" s="186">
        <v>11500</v>
      </c>
      <c r="BC5" s="186" t="s">
        <v>486</v>
      </c>
      <c r="BD5" s="186">
        <v>2500</v>
      </c>
      <c r="BE5" s="186"/>
      <c r="BF5" s="186"/>
      <c r="BG5" s="186"/>
      <c r="BH5" s="186"/>
      <c r="BI5" s="186"/>
      <c r="BJ5" s="186"/>
      <c r="BK5" s="186"/>
      <c r="BL5" s="186"/>
      <c r="BM5" s="186"/>
      <c r="BN5" s="186"/>
      <c r="BO5" s="186"/>
      <c r="BP5" s="186"/>
      <c r="BQ5" s="182"/>
      <c r="BR5" s="178">
        <v>24000</v>
      </c>
      <c r="BS5" s="190">
        <v>287600</v>
      </c>
      <c r="BT5" s="186">
        <v>305900</v>
      </c>
      <c r="BU5" s="181" t="s">
        <v>543</v>
      </c>
      <c r="BV5" s="181">
        <v>1</v>
      </c>
      <c r="BW5" s="181" t="s">
        <v>94</v>
      </c>
      <c r="BX5" s="181" t="s">
        <v>534</v>
      </c>
      <c r="BY5" s="181" t="s">
        <v>372</v>
      </c>
      <c r="BZ5" s="181">
        <v>300</v>
      </c>
      <c r="CA5" s="181" t="s">
        <v>536</v>
      </c>
      <c r="CB5" s="181" t="s">
        <v>537</v>
      </c>
      <c r="CC5" s="181" t="s">
        <v>544</v>
      </c>
      <c r="CD5" s="181">
        <v>1</v>
      </c>
      <c r="CE5" s="181" t="s">
        <v>94</v>
      </c>
      <c r="CF5" s="181" t="s">
        <v>534</v>
      </c>
      <c r="CG5" s="181" t="s">
        <v>545</v>
      </c>
      <c r="CH5" s="181">
        <v>150</v>
      </c>
      <c r="CI5" s="181" t="s">
        <v>536</v>
      </c>
      <c r="CJ5" s="181" t="s">
        <v>537</v>
      </c>
      <c r="CK5" s="181" t="s">
        <v>546</v>
      </c>
      <c r="CL5" s="181">
        <v>2</v>
      </c>
      <c r="CM5" s="181" t="s">
        <v>94</v>
      </c>
      <c r="CN5" s="181" t="s">
        <v>525</v>
      </c>
      <c r="CO5" s="181" t="s">
        <v>97</v>
      </c>
      <c r="CP5" s="181">
        <v>10</v>
      </c>
      <c r="CQ5" s="181" t="s">
        <v>94</v>
      </c>
      <c r="CR5" s="181" t="s">
        <v>530</v>
      </c>
      <c r="CS5" s="181" t="s">
        <v>547</v>
      </c>
      <c r="CT5" s="181">
        <v>100000</v>
      </c>
      <c r="CU5" s="181" t="s">
        <v>531</v>
      </c>
      <c r="CV5" s="181" t="s">
        <v>532</v>
      </c>
      <c r="CW5" s="181" t="s">
        <v>548</v>
      </c>
      <c r="CX5" s="181">
        <v>1</v>
      </c>
      <c r="CY5" s="181" t="s">
        <v>94</v>
      </c>
      <c r="CZ5" s="181" t="s">
        <v>527</v>
      </c>
      <c r="DA5" s="181" t="s">
        <v>549</v>
      </c>
      <c r="DB5" s="181">
        <v>20</v>
      </c>
      <c r="DC5" s="181" t="s">
        <v>352</v>
      </c>
      <c r="DD5" s="181" t="s">
        <v>529</v>
      </c>
      <c r="DE5" s="181" t="s">
        <v>550</v>
      </c>
      <c r="DF5" s="181">
        <v>4</v>
      </c>
      <c r="DG5" s="181" t="s">
        <v>94</v>
      </c>
      <c r="DH5" s="181" t="s">
        <v>534</v>
      </c>
      <c r="DI5" s="181" t="s">
        <v>551</v>
      </c>
      <c r="DJ5" s="181">
        <v>30000</v>
      </c>
      <c r="DK5" s="181" t="s">
        <v>536</v>
      </c>
      <c r="DL5" s="181" t="s">
        <v>537</v>
      </c>
      <c r="DM5" s="181" t="s">
        <v>552</v>
      </c>
      <c r="DN5" s="181">
        <v>2</v>
      </c>
      <c r="DO5" s="181" t="s">
        <v>94</v>
      </c>
      <c r="DP5" s="181" t="s">
        <v>527</v>
      </c>
      <c r="DQ5" s="181" t="s">
        <v>553</v>
      </c>
      <c r="DR5" s="181">
        <v>35</v>
      </c>
      <c r="DS5" s="181" t="s">
        <v>352</v>
      </c>
      <c r="DT5" s="181" t="s">
        <v>529</v>
      </c>
      <c r="DU5" s="181" t="s">
        <v>554</v>
      </c>
      <c r="DV5" s="181">
        <v>1</v>
      </c>
      <c r="DW5" s="181" t="s">
        <v>94</v>
      </c>
      <c r="DX5" s="181" t="s">
        <v>534</v>
      </c>
      <c r="DY5" s="181" t="s">
        <v>555</v>
      </c>
      <c r="DZ5" s="181">
        <v>50</v>
      </c>
      <c r="EA5" s="181" t="s">
        <v>536</v>
      </c>
      <c r="EB5" s="181" t="s">
        <v>537</v>
      </c>
      <c r="EC5" s="181" t="s">
        <v>29</v>
      </c>
      <c r="ED5" s="181" t="s">
        <v>29</v>
      </c>
      <c r="EE5" s="181" t="s">
        <v>29</v>
      </c>
      <c r="EF5" s="181" t="s">
        <v>29</v>
      </c>
      <c r="EG5" s="181" t="s">
        <v>29</v>
      </c>
      <c r="EH5" s="181" t="s">
        <v>29</v>
      </c>
      <c r="EI5" s="181" t="s">
        <v>29</v>
      </c>
      <c r="EJ5" s="181" t="s">
        <v>29</v>
      </c>
      <c r="EK5" s="181" t="s">
        <v>29</v>
      </c>
      <c r="EL5" s="181" t="s">
        <v>29</v>
      </c>
      <c r="EM5" s="181" t="s">
        <v>29</v>
      </c>
      <c r="EN5" s="181" t="s">
        <v>29</v>
      </c>
    </row>
    <row r="6" spans="1:146" ht="15">
      <c r="A6" s="178" t="str">
        <f t="shared" si="0"/>
        <v>MIZPP01170947805A</v>
      </c>
      <c r="B6" s="186" t="s">
        <v>399</v>
      </c>
      <c r="C6" s="187" t="s">
        <v>200</v>
      </c>
      <c r="D6" s="186" t="s">
        <v>379</v>
      </c>
      <c r="E6" s="186">
        <v>70947805</v>
      </c>
      <c r="F6" s="186" t="s">
        <v>425</v>
      </c>
      <c r="H6" s="187"/>
      <c r="L6" s="188"/>
      <c r="M6" s="186" t="s">
        <v>425</v>
      </c>
      <c r="N6" s="187"/>
      <c r="O6" s="188"/>
      <c r="P6" s="187"/>
      <c r="Q6" s="186" t="s">
        <v>206</v>
      </c>
      <c r="S6" s="187"/>
      <c r="T6" s="187"/>
      <c r="Y6" s="186" t="s">
        <v>455</v>
      </c>
      <c r="Z6" s="189">
        <v>175000</v>
      </c>
      <c r="AA6" s="189">
        <v>20000</v>
      </c>
      <c r="AB6" s="182">
        <v>195000</v>
      </c>
      <c r="AC6" s="189">
        <v>2000</v>
      </c>
      <c r="AD6" s="189">
        <v>0</v>
      </c>
      <c r="AE6" s="182">
        <f t="shared" si="1"/>
        <v>2000</v>
      </c>
      <c r="AF6" s="189">
        <v>500</v>
      </c>
      <c r="AG6" s="185"/>
      <c r="AK6" s="182">
        <f t="shared" si="2"/>
        <v>500</v>
      </c>
      <c r="AL6" s="185" t="s">
        <v>29</v>
      </c>
      <c r="AM6" s="185" t="s">
        <v>29</v>
      </c>
      <c r="AN6" s="185" t="s">
        <v>29</v>
      </c>
      <c r="AO6" s="186" t="s">
        <v>29</v>
      </c>
      <c r="AP6" s="182">
        <v>0</v>
      </c>
      <c r="AQ6" s="189">
        <v>10000</v>
      </c>
      <c r="AR6" s="189">
        <v>26000</v>
      </c>
      <c r="AS6" s="189">
        <v>4000</v>
      </c>
      <c r="AT6" s="189">
        <v>3000</v>
      </c>
      <c r="AU6" s="189">
        <v>0</v>
      </c>
      <c r="AV6" s="189">
        <v>3500</v>
      </c>
      <c r="AW6" s="189">
        <v>0</v>
      </c>
      <c r="AX6" s="189">
        <v>0</v>
      </c>
      <c r="AY6" s="186" t="s">
        <v>365</v>
      </c>
      <c r="AZ6" s="186">
        <v>9500</v>
      </c>
      <c r="BA6" s="186" t="s">
        <v>366</v>
      </c>
      <c r="BB6" s="186">
        <v>2500</v>
      </c>
      <c r="BC6" s="186" t="s">
        <v>487</v>
      </c>
      <c r="BD6" s="186">
        <v>10000</v>
      </c>
      <c r="BE6" s="186" t="s">
        <v>488</v>
      </c>
      <c r="BF6" s="186">
        <v>0</v>
      </c>
      <c r="BG6" s="186" t="s">
        <v>489</v>
      </c>
      <c r="BH6" s="186">
        <v>7500</v>
      </c>
      <c r="BI6" s="186" t="s">
        <v>490</v>
      </c>
      <c r="BJ6" s="186">
        <v>2000</v>
      </c>
      <c r="BK6" s="186"/>
      <c r="BL6" s="186"/>
      <c r="BM6" s="186"/>
      <c r="BN6" s="186"/>
      <c r="BO6" s="186"/>
      <c r="BP6" s="186"/>
      <c r="BQ6" s="182"/>
      <c r="BR6" s="178">
        <v>24000</v>
      </c>
      <c r="BS6" s="190">
        <v>299500</v>
      </c>
      <c r="BT6" s="186">
        <v>208000</v>
      </c>
      <c r="BU6" s="181" t="s">
        <v>376</v>
      </c>
      <c r="BV6" s="181">
        <v>5</v>
      </c>
      <c r="BW6" s="181" t="s">
        <v>94</v>
      </c>
      <c r="BX6" s="181" t="s">
        <v>525</v>
      </c>
      <c r="BY6" s="181" t="s">
        <v>97</v>
      </c>
      <c r="BZ6" s="181">
        <v>32</v>
      </c>
      <c r="CA6" s="181" t="s">
        <v>94</v>
      </c>
      <c r="CB6" s="181" t="s">
        <v>530</v>
      </c>
      <c r="CC6" s="181" t="s">
        <v>547</v>
      </c>
      <c r="CD6" s="181">
        <v>62000</v>
      </c>
      <c r="CE6" s="181" t="s">
        <v>531</v>
      </c>
      <c r="CF6" s="181" t="s">
        <v>532</v>
      </c>
      <c r="CG6" s="181" t="s">
        <v>171</v>
      </c>
      <c r="CH6" s="181">
        <v>1</v>
      </c>
      <c r="CI6" s="181" t="s">
        <v>94</v>
      </c>
      <c r="CJ6" s="181" t="s">
        <v>527</v>
      </c>
      <c r="CK6" s="181" t="s">
        <v>556</v>
      </c>
      <c r="CL6" s="181">
        <v>10</v>
      </c>
      <c r="CM6" s="181" t="s">
        <v>352</v>
      </c>
      <c r="CN6" s="181" t="s">
        <v>529</v>
      </c>
      <c r="CO6" s="181" t="s">
        <v>557</v>
      </c>
      <c r="CP6" s="181">
        <v>5</v>
      </c>
      <c r="CQ6" s="181" t="s">
        <v>94</v>
      </c>
      <c r="CR6" s="181" t="s">
        <v>534</v>
      </c>
      <c r="CS6" s="181" t="s">
        <v>558</v>
      </c>
      <c r="CT6" s="181">
        <v>18000</v>
      </c>
      <c r="CU6" s="181" t="s">
        <v>536</v>
      </c>
      <c r="CV6" s="181" t="s">
        <v>537</v>
      </c>
      <c r="CW6" s="181" t="s">
        <v>559</v>
      </c>
      <c r="CX6" s="181">
        <v>3</v>
      </c>
      <c r="CY6" s="181" t="s">
        <v>94</v>
      </c>
      <c r="CZ6" s="181" t="s">
        <v>534</v>
      </c>
      <c r="DA6" s="181" t="s">
        <v>560</v>
      </c>
      <c r="DB6" s="181">
        <v>300</v>
      </c>
      <c r="DC6" s="181" t="s">
        <v>536</v>
      </c>
      <c r="DD6" s="181" t="s">
        <v>537</v>
      </c>
      <c r="DE6" s="181" t="s">
        <v>561</v>
      </c>
      <c r="DF6" s="181">
        <v>3</v>
      </c>
      <c r="DG6" s="181" t="s">
        <v>94</v>
      </c>
      <c r="DH6" s="181" t="s">
        <v>534</v>
      </c>
      <c r="DI6" s="181" t="s">
        <v>562</v>
      </c>
      <c r="DJ6" s="181">
        <v>45</v>
      </c>
      <c r="DK6" s="181" t="s">
        <v>536</v>
      </c>
      <c r="DL6" s="181" t="s">
        <v>537</v>
      </c>
      <c r="DM6" s="181" t="s">
        <v>29</v>
      </c>
      <c r="DN6" s="181" t="s">
        <v>29</v>
      </c>
      <c r="DO6" s="181" t="s">
        <v>29</v>
      </c>
      <c r="DP6" s="181" t="s">
        <v>29</v>
      </c>
      <c r="DQ6" s="181" t="s">
        <v>29</v>
      </c>
      <c r="DR6" s="181" t="s">
        <v>29</v>
      </c>
      <c r="DS6" s="181" t="s">
        <v>29</v>
      </c>
      <c r="DT6" s="181" t="s">
        <v>29</v>
      </c>
      <c r="DU6" s="181" t="s">
        <v>29</v>
      </c>
      <c r="DV6" s="181" t="s">
        <v>29</v>
      </c>
      <c r="DW6" s="181" t="s">
        <v>29</v>
      </c>
      <c r="DX6" s="181" t="s">
        <v>29</v>
      </c>
      <c r="DY6" s="181" t="s">
        <v>29</v>
      </c>
      <c r="DZ6" s="181" t="s">
        <v>29</v>
      </c>
      <c r="EA6" s="181" t="s">
        <v>29</v>
      </c>
      <c r="EB6" s="181" t="s">
        <v>29</v>
      </c>
      <c r="EC6" s="181" t="s">
        <v>29</v>
      </c>
      <c r="ED6" s="181" t="s">
        <v>29</v>
      </c>
      <c r="EE6" s="181" t="s">
        <v>29</v>
      </c>
      <c r="EF6" s="181" t="s">
        <v>29</v>
      </c>
      <c r="EG6" s="181" t="s">
        <v>29</v>
      </c>
      <c r="EH6" s="181" t="s">
        <v>29</v>
      </c>
      <c r="EI6" s="181" t="s">
        <v>29</v>
      </c>
      <c r="EJ6" s="181" t="s">
        <v>29</v>
      </c>
      <c r="EK6" s="181" t="s">
        <v>29</v>
      </c>
      <c r="EL6" s="181" t="s">
        <v>29</v>
      </c>
      <c r="EM6" s="181" t="s">
        <v>29</v>
      </c>
      <c r="EN6" s="181" t="s">
        <v>29</v>
      </c>
    </row>
    <row r="7" spans="1:146" ht="15">
      <c r="A7" s="178" t="str">
        <f t="shared" si="0"/>
        <v>MIZPP02521540233A</v>
      </c>
      <c r="B7" s="186" t="s">
        <v>361</v>
      </c>
      <c r="C7" s="187" t="s">
        <v>200</v>
      </c>
      <c r="D7" s="186" t="s">
        <v>416</v>
      </c>
      <c r="E7" s="186">
        <v>21540233</v>
      </c>
      <c r="F7" s="186" t="s">
        <v>426</v>
      </c>
      <c r="H7" s="187"/>
      <c r="L7" s="188"/>
      <c r="M7" s="186" t="s">
        <v>426</v>
      </c>
      <c r="N7" s="187"/>
      <c r="O7" s="188"/>
      <c r="P7" s="187"/>
      <c r="Q7" s="186" t="s">
        <v>443</v>
      </c>
      <c r="S7" s="187"/>
      <c r="T7" s="187"/>
      <c r="Y7" s="186" t="s">
        <v>456</v>
      </c>
      <c r="Z7" s="189">
        <v>102673</v>
      </c>
      <c r="AA7" s="189">
        <v>0</v>
      </c>
      <c r="AB7" s="182">
        <v>102673</v>
      </c>
      <c r="AC7" s="189">
        <v>0</v>
      </c>
      <c r="AD7" s="189">
        <v>0</v>
      </c>
      <c r="AE7" s="182">
        <f t="shared" si="1"/>
        <v>0</v>
      </c>
      <c r="AF7" s="189">
        <v>0</v>
      </c>
      <c r="AG7" s="185"/>
      <c r="AK7" s="182">
        <f t="shared" si="2"/>
        <v>0</v>
      </c>
      <c r="AL7" s="185" t="s">
        <v>29</v>
      </c>
      <c r="AM7" s="185" t="s">
        <v>29</v>
      </c>
      <c r="AN7" s="185" t="s">
        <v>29</v>
      </c>
      <c r="AO7" s="186" t="s">
        <v>29</v>
      </c>
      <c r="AP7" s="182">
        <v>0</v>
      </c>
      <c r="AQ7" s="189">
        <v>0</v>
      </c>
      <c r="AR7" s="189">
        <v>0</v>
      </c>
      <c r="AS7" s="189">
        <v>0</v>
      </c>
      <c r="AT7" s="189">
        <v>0</v>
      </c>
      <c r="AU7" s="189">
        <v>0</v>
      </c>
      <c r="AV7" s="189">
        <v>38720</v>
      </c>
      <c r="AW7" s="189">
        <v>0</v>
      </c>
      <c r="AX7" s="189">
        <v>3207</v>
      </c>
      <c r="AY7" s="186" t="s">
        <v>491</v>
      </c>
      <c r="AZ7" s="186">
        <v>83200</v>
      </c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2"/>
      <c r="BR7" s="178">
        <v>0</v>
      </c>
      <c r="BS7" s="190">
        <v>227800</v>
      </c>
      <c r="BT7" s="186">
        <v>97629</v>
      </c>
      <c r="BU7" s="181" t="s">
        <v>563</v>
      </c>
      <c r="BV7" s="181">
        <v>8</v>
      </c>
      <c r="BW7" s="181" t="s">
        <v>94</v>
      </c>
      <c r="BX7" s="181" t="s">
        <v>527</v>
      </c>
      <c r="BY7" s="181" t="s">
        <v>564</v>
      </c>
      <c r="BZ7" s="181">
        <v>240</v>
      </c>
      <c r="CA7" s="181" t="s">
        <v>352</v>
      </c>
      <c r="CB7" s="181" t="s">
        <v>529</v>
      </c>
      <c r="CC7" s="181" t="s">
        <v>97</v>
      </c>
      <c r="CD7" s="181">
        <v>16</v>
      </c>
      <c r="CE7" s="181" t="s">
        <v>94</v>
      </c>
      <c r="CF7" s="181" t="s">
        <v>530</v>
      </c>
      <c r="CG7" s="181" t="s">
        <v>373</v>
      </c>
      <c r="CH7" s="181">
        <v>150000</v>
      </c>
      <c r="CI7" s="181" t="s">
        <v>531</v>
      </c>
      <c r="CJ7" s="181" t="s">
        <v>532</v>
      </c>
      <c r="CK7" s="181" t="s">
        <v>29</v>
      </c>
      <c r="CL7" s="181" t="s">
        <v>29</v>
      </c>
      <c r="CM7" s="181" t="s">
        <v>29</v>
      </c>
      <c r="CN7" s="181" t="s">
        <v>29</v>
      </c>
      <c r="CO7" s="181" t="s">
        <v>29</v>
      </c>
      <c r="CP7" s="181" t="s">
        <v>29</v>
      </c>
      <c r="CQ7" s="181" t="s">
        <v>29</v>
      </c>
      <c r="CR7" s="181" t="s">
        <v>29</v>
      </c>
      <c r="CS7" s="181" t="s">
        <v>29</v>
      </c>
      <c r="CT7" s="181" t="s">
        <v>29</v>
      </c>
      <c r="CU7" s="181" t="s">
        <v>29</v>
      </c>
      <c r="CV7" s="181" t="s">
        <v>29</v>
      </c>
      <c r="CW7" s="181" t="s">
        <v>29</v>
      </c>
      <c r="CX7" s="181" t="s">
        <v>29</v>
      </c>
      <c r="CY7" s="181" t="s">
        <v>29</v>
      </c>
      <c r="CZ7" s="181" t="s">
        <v>29</v>
      </c>
      <c r="DA7" s="181" t="s">
        <v>29</v>
      </c>
      <c r="DB7" s="181" t="s">
        <v>29</v>
      </c>
      <c r="DC7" s="181" t="s">
        <v>29</v>
      </c>
      <c r="DD7" s="181" t="s">
        <v>29</v>
      </c>
      <c r="DE7" s="181" t="s">
        <v>29</v>
      </c>
      <c r="DF7" s="181" t="s">
        <v>29</v>
      </c>
      <c r="DG7" s="181" t="s">
        <v>29</v>
      </c>
      <c r="DH7" s="181" t="s">
        <v>29</v>
      </c>
      <c r="DI7" s="181" t="s">
        <v>29</v>
      </c>
      <c r="DJ7" s="181" t="s">
        <v>29</v>
      </c>
      <c r="DK7" s="181" t="s">
        <v>29</v>
      </c>
      <c r="DL7" s="181" t="s">
        <v>29</v>
      </c>
      <c r="DM7" s="181" t="s">
        <v>29</v>
      </c>
      <c r="DN7" s="181" t="s">
        <v>29</v>
      </c>
      <c r="DO7" s="181" t="s">
        <v>29</v>
      </c>
      <c r="DP7" s="181" t="s">
        <v>29</v>
      </c>
      <c r="DQ7" s="181" t="s">
        <v>29</v>
      </c>
      <c r="DR7" s="181" t="s">
        <v>29</v>
      </c>
      <c r="DS7" s="181" t="s">
        <v>29</v>
      </c>
      <c r="DT7" s="181" t="s">
        <v>29</v>
      </c>
      <c r="DU7" s="181" t="s">
        <v>29</v>
      </c>
      <c r="DV7" s="181" t="s">
        <v>29</v>
      </c>
      <c r="DW7" s="181" t="s">
        <v>29</v>
      </c>
      <c r="DX7" s="181" t="s">
        <v>29</v>
      </c>
      <c r="DY7" s="181" t="s">
        <v>29</v>
      </c>
      <c r="DZ7" s="181" t="s">
        <v>29</v>
      </c>
      <c r="EA7" s="181" t="s">
        <v>29</v>
      </c>
      <c r="EB7" s="181" t="s">
        <v>29</v>
      </c>
      <c r="EC7" s="181" t="s">
        <v>29</v>
      </c>
      <c r="ED7" s="181" t="s">
        <v>29</v>
      </c>
      <c r="EE7" s="181" t="s">
        <v>29</v>
      </c>
      <c r="EF7" s="181" t="s">
        <v>29</v>
      </c>
      <c r="EG7" s="181" t="s">
        <v>29</v>
      </c>
      <c r="EH7" s="181" t="s">
        <v>29</v>
      </c>
      <c r="EI7" s="181" t="s">
        <v>29</v>
      </c>
      <c r="EJ7" s="181" t="s">
        <v>29</v>
      </c>
      <c r="EK7" s="181" t="s">
        <v>29</v>
      </c>
      <c r="EL7" s="181" t="s">
        <v>29</v>
      </c>
      <c r="EM7" s="181" t="s">
        <v>29</v>
      </c>
      <c r="EN7" s="181" t="s">
        <v>29</v>
      </c>
    </row>
    <row r="8" spans="1:146" ht="15">
      <c r="A8" s="178" t="str">
        <f t="shared" si="0"/>
        <v>MIZPP02849629549A</v>
      </c>
      <c r="B8" s="186" t="s">
        <v>400</v>
      </c>
      <c r="C8" s="187" t="s">
        <v>200</v>
      </c>
      <c r="D8" s="186" t="s">
        <v>381</v>
      </c>
      <c r="E8" s="186">
        <v>49629549</v>
      </c>
      <c r="F8" s="186" t="s">
        <v>427</v>
      </c>
      <c r="H8" s="187"/>
      <c r="L8" s="188"/>
      <c r="M8" s="186" t="s">
        <v>427</v>
      </c>
      <c r="N8" s="187"/>
      <c r="O8" s="188"/>
      <c r="P8" s="187"/>
      <c r="Q8" s="186" t="s">
        <v>207</v>
      </c>
      <c r="S8" s="187"/>
      <c r="T8" s="187"/>
      <c r="Y8" s="186" t="s">
        <v>457</v>
      </c>
      <c r="Z8" s="189">
        <v>221000</v>
      </c>
      <c r="AA8" s="189">
        <v>0</v>
      </c>
      <c r="AB8" s="182">
        <v>221000</v>
      </c>
      <c r="AC8" s="189">
        <v>36000</v>
      </c>
      <c r="AD8" s="189">
        <v>0</v>
      </c>
      <c r="AE8" s="182">
        <f t="shared" si="1"/>
        <v>36000</v>
      </c>
      <c r="AF8" s="189">
        <v>0</v>
      </c>
      <c r="AG8" s="185"/>
      <c r="AK8" s="182">
        <f t="shared" si="2"/>
        <v>0</v>
      </c>
      <c r="AL8" s="185" t="s">
        <v>29</v>
      </c>
      <c r="AM8" s="185" t="s">
        <v>29</v>
      </c>
      <c r="AN8" s="185" t="s">
        <v>29</v>
      </c>
      <c r="AO8" s="186" t="s">
        <v>29</v>
      </c>
      <c r="AP8" s="182">
        <v>0</v>
      </c>
      <c r="AQ8" s="189">
        <v>0</v>
      </c>
      <c r="AR8" s="189">
        <v>0</v>
      </c>
      <c r="AS8" s="189">
        <v>0</v>
      </c>
      <c r="AT8" s="189">
        <v>0</v>
      </c>
      <c r="AU8" s="189">
        <v>0</v>
      </c>
      <c r="AV8" s="189">
        <v>0</v>
      </c>
      <c r="AW8" s="189">
        <v>0</v>
      </c>
      <c r="AX8" s="189">
        <v>0</v>
      </c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2"/>
      <c r="BR8" s="178">
        <v>42925</v>
      </c>
      <c r="BS8" s="190">
        <v>299925</v>
      </c>
      <c r="BT8" s="186">
        <v>205768</v>
      </c>
      <c r="BU8" s="181" t="s">
        <v>565</v>
      </c>
      <c r="BV8" s="181">
        <v>250</v>
      </c>
      <c r="BW8" s="181" t="s">
        <v>94</v>
      </c>
      <c r="BX8" s="181" t="s">
        <v>524</v>
      </c>
      <c r="BY8" s="181" t="s">
        <v>566</v>
      </c>
      <c r="BZ8" s="181">
        <v>800</v>
      </c>
      <c r="CA8" s="181" t="s">
        <v>98</v>
      </c>
      <c r="CB8" s="181" t="s">
        <v>567</v>
      </c>
      <c r="CC8" s="181" t="s">
        <v>129</v>
      </c>
      <c r="CD8" s="181">
        <v>10</v>
      </c>
      <c r="CE8" s="181" t="s">
        <v>134</v>
      </c>
      <c r="CF8" s="181" t="s">
        <v>538</v>
      </c>
      <c r="CG8" s="181" t="s">
        <v>539</v>
      </c>
      <c r="CH8" s="181">
        <v>1000</v>
      </c>
      <c r="CI8" s="181" t="s">
        <v>369</v>
      </c>
      <c r="CJ8" s="181" t="s">
        <v>540</v>
      </c>
      <c r="CK8" s="181" t="s">
        <v>568</v>
      </c>
      <c r="CL8" s="181">
        <v>4</v>
      </c>
      <c r="CM8" s="181" t="s">
        <v>94</v>
      </c>
      <c r="CN8" s="181" t="s">
        <v>527</v>
      </c>
      <c r="CO8" s="181" t="s">
        <v>569</v>
      </c>
      <c r="CP8" s="181">
        <v>130</v>
      </c>
      <c r="CQ8" s="181" t="s">
        <v>352</v>
      </c>
      <c r="CR8" s="181" t="s">
        <v>529</v>
      </c>
      <c r="CS8" s="181" t="s">
        <v>378</v>
      </c>
      <c r="CT8" s="181">
        <v>10</v>
      </c>
      <c r="CU8" s="181" t="s">
        <v>94</v>
      </c>
      <c r="CV8" s="181" t="s">
        <v>570</v>
      </c>
      <c r="CW8" s="181" t="s">
        <v>571</v>
      </c>
      <c r="CX8" s="181">
        <v>20</v>
      </c>
      <c r="CY8" s="181" t="s">
        <v>94</v>
      </c>
      <c r="CZ8" s="181" t="s">
        <v>530</v>
      </c>
      <c r="DA8" s="181" t="s">
        <v>373</v>
      </c>
      <c r="DB8" s="181">
        <v>80000</v>
      </c>
      <c r="DC8" s="181" t="s">
        <v>531</v>
      </c>
      <c r="DD8" s="181" t="s">
        <v>532</v>
      </c>
      <c r="DE8" s="181" t="s">
        <v>376</v>
      </c>
      <c r="DF8" s="181">
        <v>3</v>
      </c>
      <c r="DG8" s="181" t="s">
        <v>94</v>
      </c>
      <c r="DH8" s="181" t="s">
        <v>525</v>
      </c>
      <c r="DI8" s="181" t="s">
        <v>572</v>
      </c>
      <c r="DJ8" s="181">
        <v>3</v>
      </c>
      <c r="DK8" s="181" t="s">
        <v>94</v>
      </c>
      <c r="DL8" s="181" t="s">
        <v>534</v>
      </c>
      <c r="DM8" s="181" t="s">
        <v>573</v>
      </c>
      <c r="DN8" s="181">
        <v>40</v>
      </c>
      <c r="DO8" s="181" t="s">
        <v>536</v>
      </c>
      <c r="DP8" s="181" t="s">
        <v>537</v>
      </c>
      <c r="DQ8" s="181" t="s">
        <v>29</v>
      </c>
      <c r="DR8" s="181" t="s">
        <v>29</v>
      </c>
      <c r="DS8" s="181" t="s">
        <v>29</v>
      </c>
      <c r="DT8" s="181" t="s">
        <v>29</v>
      </c>
      <c r="DU8" s="181" t="s">
        <v>29</v>
      </c>
      <c r="DV8" s="181" t="s">
        <v>29</v>
      </c>
      <c r="DW8" s="181" t="s">
        <v>29</v>
      </c>
      <c r="DX8" s="181" t="s">
        <v>29</v>
      </c>
      <c r="DY8" s="181" t="s">
        <v>29</v>
      </c>
      <c r="DZ8" s="181" t="s">
        <v>29</v>
      </c>
      <c r="EA8" s="181" t="s">
        <v>29</v>
      </c>
      <c r="EB8" s="181" t="s">
        <v>29</v>
      </c>
      <c r="EC8" s="181" t="s">
        <v>29</v>
      </c>
      <c r="ED8" s="181" t="s">
        <v>29</v>
      </c>
      <c r="EE8" s="181" t="s">
        <v>29</v>
      </c>
      <c r="EF8" s="181" t="s">
        <v>29</v>
      </c>
      <c r="EG8" s="181" t="s">
        <v>29</v>
      </c>
      <c r="EH8" s="181" t="s">
        <v>29</v>
      </c>
      <c r="EI8" s="181" t="s">
        <v>29</v>
      </c>
      <c r="EJ8" s="181" t="s">
        <v>29</v>
      </c>
      <c r="EK8" s="181" t="s">
        <v>29</v>
      </c>
      <c r="EL8" s="181" t="s">
        <v>29</v>
      </c>
      <c r="EM8" s="181" t="s">
        <v>29</v>
      </c>
      <c r="EN8" s="181" t="s">
        <v>29</v>
      </c>
    </row>
    <row r="9" spans="1:146" ht="15">
      <c r="A9" s="178" t="str">
        <f t="shared" si="0"/>
        <v>MIZPP02949629549A</v>
      </c>
      <c r="B9" s="186" t="s">
        <v>401</v>
      </c>
      <c r="C9" s="187" t="s">
        <v>200</v>
      </c>
      <c r="D9" s="186" t="s">
        <v>381</v>
      </c>
      <c r="E9" s="186">
        <v>49629549</v>
      </c>
      <c r="F9" s="186" t="s">
        <v>427</v>
      </c>
      <c r="H9" s="187"/>
      <c r="L9" s="188"/>
      <c r="M9" s="186" t="s">
        <v>427</v>
      </c>
      <c r="N9" s="187"/>
      <c r="O9" s="188"/>
      <c r="P9" s="187"/>
      <c r="Q9" s="186" t="s">
        <v>207</v>
      </c>
      <c r="S9" s="187"/>
      <c r="T9" s="187"/>
      <c r="Y9" s="186" t="s">
        <v>458</v>
      </c>
      <c r="Z9" s="189">
        <v>125000</v>
      </c>
      <c r="AA9" s="189">
        <v>0</v>
      </c>
      <c r="AB9" s="182">
        <v>125000</v>
      </c>
      <c r="AC9" s="189">
        <v>0</v>
      </c>
      <c r="AD9" s="189">
        <v>0</v>
      </c>
      <c r="AE9" s="182">
        <f t="shared" si="1"/>
        <v>0</v>
      </c>
      <c r="AF9" s="189">
        <v>40000</v>
      </c>
      <c r="AG9" s="185"/>
      <c r="AK9" s="182">
        <f t="shared" si="2"/>
        <v>40000</v>
      </c>
      <c r="AL9" s="178" t="s">
        <v>475</v>
      </c>
      <c r="AM9" s="178">
        <v>22690</v>
      </c>
      <c r="AN9" s="178" t="s">
        <v>477</v>
      </c>
      <c r="AO9" s="186">
        <f>23600+6000+46400</f>
        <v>76000</v>
      </c>
      <c r="AP9" s="182">
        <v>98690</v>
      </c>
      <c r="AQ9" s="189">
        <v>0</v>
      </c>
      <c r="AR9" s="189">
        <v>0</v>
      </c>
      <c r="AS9" s="189">
        <v>0</v>
      </c>
      <c r="AT9" s="189">
        <v>0</v>
      </c>
      <c r="AU9" s="189">
        <v>0</v>
      </c>
      <c r="AV9" s="189">
        <v>0</v>
      </c>
      <c r="AW9" s="189">
        <v>0</v>
      </c>
      <c r="AX9" s="189">
        <v>0</v>
      </c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2"/>
      <c r="BR9" s="178">
        <v>36000</v>
      </c>
      <c r="BS9" s="190">
        <v>299690</v>
      </c>
      <c r="BT9" s="186">
        <v>143200</v>
      </c>
      <c r="BU9" s="181" t="s">
        <v>574</v>
      </c>
      <c r="BV9" s="181">
        <v>2.52</v>
      </c>
      <c r="BW9" s="181" t="s">
        <v>98</v>
      </c>
      <c r="BX9" s="181" t="s">
        <v>521</v>
      </c>
      <c r="BY9" s="181" t="s">
        <v>575</v>
      </c>
      <c r="BZ9" s="181">
        <v>10</v>
      </c>
      <c r="CA9" s="181" t="s">
        <v>94</v>
      </c>
      <c r="CB9" s="181" t="s">
        <v>524</v>
      </c>
      <c r="CC9" s="181" t="s">
        <v>133</v>
      </c>
      <c r="CD9" s="181">
        <v>260</v>
      </c>
      <c r="CE9" s="181" t="s">
        <v>134</v>
      </c>
      <c r="CF9" s="181" t="s">
        <v>538</v>
      </c>
      <c r="CG9" s="181" t="s">
        <v>576</v>
      </c>
      <c r="CH9" s="181">
        <v>1000</v>
      </c>
      <c r="CI9" s="181" t="s">
        <v>369</v>
      </c>
      <c r="CJ9" s="181" t="s">
        <v>540</v>
      </c>
      <c r="CK9" s="181" t="s">
        <v>95</v>
      </c>
      <c r="CL9" s="181">
        <v>8</v>
      </c>
      <c r="CM9" s="181" t="s">
        <v>94</v>
      </c>
      <c r="CN9" s="181" t="s">
        <v>527</v>
      </c>
      <c r="CO9" s="181" t="s">
        <v>95</v>
      </c>
      <c r="CP9" s="181">
        <v>160</v>
      </c>
      <c r="CQ9" s="181" t="s">
        <v>134</v>
      </c>
      <c r="CR9" s="181" t="s">
        <v>577</v>
      </c>
      <c r="CS9" s="181" t="s">
        <v>578</v>
      </c>
      <c r="CT9" s="181">
        <v>4</v>
      </c>
      <c r="CU9" s="181" t="s">
        <v>94</v>
      </c>
      <c r="CV9" s="181" t="s">
        <v>527</v>
      </c>
      <c r="CW9" s="181" t="s">
        <v>579</v>
      </c>
      <c r="CX9" s="181">
        <v>60</v>
      </c>
      <c r="CY9" s="181" t="s">
        <v>134</v>
      </c>
      <c r="CZ9" s="181" t="s">
        <v>577</v>
      </c>
      <c r="DA9" s="181" t="s">
        <v>580</v>
      </c>
      <c r="DB9" s="181">
        <v>4</v>
      </c>
      <c r="DC9" s="181" t="s">
        <v>94</v>
      </c>
      <c r="DD9" s="181" t="s">
        <v>527</v>
      </c>
      <c r="DE9" s="181" t="s">
        <v>581</v>
      </c>
      <c r="DF9" s="181">
        <v>40</v>
      </c>
      <c r="DG9" s="181" t="s">
        <v>134</v>
      </c>
      <c r="DH9" s="181" t="s">
        <v>577</v>
      </c>
      <c r="DI9" s="181" t="s">
        <v>333</v>
      </c>
      <c r="DJ9" s="181">
        <v>2</v>
      </c>
      <c r="DK9" s="181" t="s">
        <v>94</v>
      </c>
      <c r="DL9" s="181" t="s">
        <v>525</v>
      </c>
      <c r="DM9" s="181" t="s">
        <v>97</v>
      </c>
      <c r="DN9" s="181">
        <v>4</v>
      </c>
      <c r="DO9" s="181" t="s">
        <v>94</v>
      </c>
      <c r="DP9" s="181" t="s">
        <v>530</v>
      </c>
      <c r="DQ9" s="181" t="s">
        <v>377</v>
      </c>
      <c r="DR9" s="181">
        <v>20000</v>
      </c>
      <c r="DS9" s="181" t="s">
        <v>582</v>
      </c>
      <c r="DT9" s="181" t="s">
        <v>583</v>
      </c>
      <c r="DU9" s="181" t="s">
        <v>29</v>
      </c>
      <c r="DV9" s="181" t="s">
        <v>29</v>
      </c>
      <c r="DW9" s="181" t="s">
        <v>29</v>
      </c>
      <c r="DX9" s="181" t="s">
        <v>29</v>
      </c>
      <c r="DY9" s="181" t="s">
        <v>29</v>
      </c>
      <c r="DZ9" s="181" t="s">
        <v>29</v>
      </c>
      <c r="EA9" s="181" t="s">
        <v>29</v>
      </c>
      <c r="EB9" s="181" t="s">
        <v>29</v>
      </c>
      <c r="EC9" s="181" t="s">
        <v>29</v>
      </c>
      <c r="ED9" s="181" t="s">
        <v>29</v>
      </c>
      <c r="EE9" s="181" t="s">
        <v>29</v>
      </c>
      <c r="EF9" s="181" t="s">
        <v>29</v>
      </c>
      <c r="EG9" s="181" t="s">
        <v>29</v>
      </c>
      <c r="EH9" s="181" t="s">
        <v>29</v>
      </c>
      <c r="EI9" s="181" t="s">
        <v>29</v>
      </c>
      <c r="EJ9" s="181" t="s">
        <v>29</v>
      </c>
      <c r="EK9" s="181" t="s">
        <v>29</v>
      </c>
      <c r="EL9" s="181" t="s">
        <v>29</v>
      </c>
      <c r="EM9" s="181" t="s">
        <v>29</v>
      </c>
      <c r="EN9" s="181" t="s">
        <v>29</v>
      </c>
    </row>
    <row r="10" spans="1:146" ht="15">
      <c r="A10" s="178" t="str">
        <f t="shared" si="0"/>
        <v>MIZPP03049629549A</v>
      </c>
      <c r="B10" s="186" t="s">
        <v>402</v>
      </c>
      <c r="C10" s="187" t="s">
        <v>200</v>
      </c>
      <c r="D10" s="191" t="s">
        <v>381</v>
      </c>
      <c r="E10" s="186">
        <v>49629549</v>
      </c>
      <c r="F10" s="186" t="s">
        <v>427</v>
      </c>
      <c r="H10" s="187"/>
      <c r="L10" s="188"/>
      <c r="M10" s="186" t="s">
        <v>427</v>
      </c>
      <c r="N10" s="187"/>
      <c r="O10" s="188"/>
      <c r="P10" s="187"/>
      <c r="Q10" s="186" t="s">
        <v>207</v>
      </c>
      <c r="S10" s="187"/>
      <c r="T10" s="187"/>
      <c r="Y10" s="186" t="s">
        <v>459</v>
      </c>
      <c r="Z10" s="189">
        <v>270000</v>
      </c>
      <c r="AA10" s="189">
        <v>0</v>
      </c>
      <c r="AB10" s="182">
        <v>270000</v>
      </c>
      <c r="AC10" s="189">
        <v>0</v>
      </c>
      <c r="AD10" s="189">
        <v>0</v>
      </c>
      <c r="AE10" s="182">
        <f t="shared" si="1"/>
        <v>0</v>
      </c>
      <c r="AF10" s="189">
        <v>0</v>
      </c>
      <c r="AG10" s="185"/>
      <c r="AK10" s="182">
        <f t="shared" si="2"/>
        <v>0</v>
      </c>
      <c r="AL10" s="185" t="s">
        <v>29</v>
      </c>
      <c r="AM10" s="185" t="s">
        <v>29</v>
      </c>
      <c r="AN10" s="185" t="s">
        <v>29</v>
      </c>
      <c r="AO10" s="186" t="s">
        <v>29</v>
      </c>
      <c r="AP10" s="182">
        <v>0</v>
      </c>
      <c r="AQ10" s="189">
        <v>0</v>
      </c>
      <c r="AR10" s="189">
        <v>0</v>
      </c>
      <c r="AS10" s="189">
        <v>0</v>
      </c>
      <c r="AT10" s="189">
        <v>0</v>
      </c>
      <c r="AU10" s="189">
        <v>0</v>
      </c>
      <c r="AV10" s="189">
        <v>0</v>
      </c>
      <c r="AW10" s="189">
        <v>0</v>
      </c>
      <c r="AX10" s="189">
        <v>0</v>
      </c>
      <c r="AY10" s="186"/>
      <c r="AZ10" s="186"/>
      <c r="BA10" s="186"/>
      <c r="BB10" s="186"/>
      <c r="BC10" s="186"/>
      <c r="BD10" s="186"/>
      <c r="BE10" s="186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2"/>
      <c r="BR10" s="178">
        <v>25000</v>
      </c>
      <c r="BS10" s="190">
        <v>295000</v>
      </c>
      <c r="BT10" s="186">
        <v>253217</v>
      </c>
      <c r="BU10" s="181" t="s">
        <v>584</v>
      </c>
      <c r="BV10" s="181">
        <v>1</v>
      </c>
      <c r="BW10" s="181" t="s">
        <v>94</v>
      </c>
      <c r="BX10" s="181" t="s">
        <v>527</v>
      </c>
      <c r="BY10" s="181" t="s">
        <v>585</v>
      </c>
      <c r="BZ10" s="181">
        <v>500</v>
      </c>
      <c r="CA10" s="181" t="s">
        <v>352</v>
      </c>
      <c r="CB10" s="181" t="s">
        <v>529</v>
      </c>
      <c r="CC10" s="181" t="s">
        <v>586</v>
      </c>
      <c r="CD10" s="181">
        <v>10</v>
      </c>
      <c r="CE10" s="181" t="s">
        <v>94</v>
      </c>
      <c r="CF10" s="181" t="s">
        <v>530</v>
      </c>
      <c r="CG10" s="181" t="s">
        <v>373</v>
      </c>
      <c r="CH10" s="181">
        <v>50000</v>
      </c>
      <c r="CI10" s="181" t="s">
        <v>531</v>
      </c>
      <c r="CJ10" s="181" t="s">
        <v>532</v>
      </c>
      <c r="CK10" s="181" t="s">
        <v>587</v>
      </c>
      <c r="CL10" s="181">
        <v>2</v>
      </c>
      <c r="CM10" s="181" t="s">
        <v>94</v>
      </c>
      <c r="CN10" s="181" t="s">
        <v>525</v>
      </c>
      <c r="CO10" s="181" t="s">
        <v>588</v>
      </c>
      <c r="CP10" s="181">
        <v>1</v>
      </c>
      <c r="CQ10" s="181" t="s">
        <v>94</v>
      </c>
      <c r="CR10" s="181" t="s">
        <v>525</v>
      </c>
      <c r="CS10" s="181" t="s">
        <v>589</v>
      </c>
      <c r="CT10" s="181">
        <v>1</v>
      </c>
      <c r="CU10" s="181" t="s">
        <v>94</v>
      </c>
      <c r="CV10" s="181" t="s">
        <v>534</v>
      </c>
      <c r="CW10" s="181" t="s">
        <v>590</v>
      </c>
      <c r="CX10" s="181">
        <v>300</v>
      </c>
      <c r="CY10" s="181" t="s">
        <v>536</v>
      </c>
      <c r="CZ10" s="181" t="s">
        <v>537</v>
      </c>
      <c r="DA10" s="181" t="s">
        <v>591</v>
      </c>
      <c r="DB10" s="181">
        <v>1</v>
      </c>
      <c r="DC10" s="181" t="s">
        <v>94</v>
      </c>
      <c r="DD10" s="181" t="s">
        <v>527</v>
      </c>
      <c r="DE10" s="181" t="s">
        <v>592</v>
      </c>
      <c r="DF10" s="181">
        <v>400</v>
      </c>
      <c r="DG10" s="181" t="s">
        <v>536</v>
      </c>
      <c r="DH10" s="181" t="s">
        <v>529</v>
      </c>
      <c r="DI10" s="181" t="s">
        <v>593</v>
      </c>
      <c r="DJ10" s="181">
        <v>1</v>
      </c>
      <c r="DK10" s="181" t="s">
        <v>94</v>
      </c>
      <c r="DL10" s="181" t="s">
        <v>534</v>
      </c>
      <c r="DM10" s="181" t="s">
        <v>96</v>
      </c>
      <c r="DN10" s="181">
        <v>2</v>
      </c>
      <c r="DO10" s="181" t="s">
        <v>94</v>
      </c>
      <c r="DP10" s="181" t="s">
        <v>534</v>
      </c>
      <c r="DQ10" s="181" t="s">
        <v>594</v>
      </c>
      <c r="DR10" s="181">
        <v>6000</v>
      </c>
      <c r="DS10" s="181" t="s">
        <v>536</v>
      </c>
      <c r="DT10" s="181" t="s">
        <v>537</v>
      </c>
      <c r="DU10" s="181" t="s">
        <v>551</v>
      </c>
      <c r="DV10" s="181">
        <v>13000</v>
      </c>
      <c r="DW10" s="181" t="s">
        <v>536</v>
      </c>
      <c r="DX10" s="181" t="s">
        <v>537</v>
      </c>
      <c r="DY10" s="181" t="s">
        <v>595</v>
      </c>
      <c r="DZ10" s="181">
        <v>500</v>
      </c>
      <c r="EA10" s="181" t="s">
        <v>94</v>
      </c>
      <c r="EB10" s="181" t="s">
        <v>527</v>
      </c>
      <c r="EC10" s="181" t="s">
        <v>375</v>
      </c>
      <c r="ED10" s="181">
        <v>850</v>
      </c>
      <c r="EE10" s="181" t="s">
        <v>352</v>
      </c>
      <c r="EF10" s="181" t="s">
        <v>529</v>
      </c>
      <c r="EG10" s="181" t="s">
        <v>596</v>
      </c>
      <c r="EH10" s="181">
        <v>1</v>
      </c>
      <c r="EI10" s="181" t="s">
        <v>94</v>
      </c>
      <c r="EJ10" s="181" t="s">
        <v>534</v>
      </c>
      <c r="EK10" s="181" t="s">
        <v>597</v>
      </c>
      <c r="EL10" s="181">
        <v>250</v>
      </c>
      <c r="EM10" s="181" t="s">
        <v>536</v>
      </c>
      <c r="EN10" s="181" t="s">
        <v>537</v>
      </c>
    </row>
    <row r="11" spans="1:146" ht="15">
      <c r="A11" s="178" t="str">
        <f t="shared" si="0"/>
        <v>MIZPP03446747362A</v>
      </c>
      <c r="B11" s="186" t="s">
        <v>403</v>
      </c>
      <c r="C11" s="187" t="s">
        <v>200</v>
      </c>
      <c r="D11" s="186" t="s">
        <v>383</v>
      </c>
      <c r="E11" s="186">
        <v>46747362</v>
      </c>
      <c r="F11" s="186" t="s">
        <v>428</v>
      </c>
      <c r="H11" s="187"/>
      <c r="L11" s="188"/>
      <c r="M11" s="186" t="s">
        <v>428</v>
      </c>
      <c r="N11" s="187"/>
      <c r="O11" s="188"/>
      <c r="P11" s="187"/>
      <c r="Q11" s="186" t="s">
        <v>209</v>
      </c>
      <c r="S11" s="187"/>
      <c r="T11" s="187"/>
      <c r="Y11" s="186" t="s">
        <v>460</v>
      </c>
      <c r="Z11" s="189">
        <v>142000</v>
      </c>
      <c r="AA11" s="189">
        <v>75000</v>
      </c>
      <c r="AB11" s="182">
        <v>217000</v>
      </c>
      <c r="AC11" s="189">
        <v>0</v>
      </c>
      <c r="AD11" s="189">
        <v>10000</v>
      </c>
      <c r="AE11" s="182">
        <f t="shared" si="1"/>
        <v>10000</v>
      </c>
      <c r="AF11" s="189">
        <v>25000</v>
      </c>
      <c r="AG11" s="185"/>
      <c r="AK11" s="182">
        <f t="shared" si="2"/>
        <v>25000</v>
      </c>
      <c r="AL11" s="185" t="s">
        <v>29</v>
      </c>
      <c r="AM11" s="185" t="s">
        <v>29</v>
      </c>
      <c r="AN11" s="185" t="s">
        <v>29</v>
      </c>
      <c r="AO11" s="186" t="s">
        <v>29</v>
      </c>
      <c r="AP11" s="182">
        <v>0</v>
      </c>
      <c r="AQ11" s="189">
        <v>6000</v>
      </c>
      <c r="AR11" s="189">
        <v>0</v>
      </c>
      <c r="AS11" s="189">
        <v>0</v>
      </c>
      <c r="AT11" s="189">
        <v>0</v>
      </c>
      <c r="AU11" s="189">
        <v>0</v>
      </c>
      <c r="AV11" s="189">
        <v>0</v>
      </c>
      <c r="AW11" s="189">
        <v>0</v>
      </c>
      <c r="AX11" s="189">
        <v>0</v>
      </c>
      <c r="AY11" s="186" t="s">
        <v>492</v>
      </c>
      <c r="AZ11" s="186">
        <v>12000</v>
      </c>
      <c r="BA11" s="186" t="s">
        <v>493</v>
      </c>
      <c r="BB11" s="186">
        <v>25000</v>
      </c>
      <c r="BC11" s="186" t="s">
        <v>494</v>
      </c>
      <c r="BD11" s="186">
        <v>5000</v>
      </c>
      <c r="BE11" s="186"/>
      <c r="BF11" s="186"/>
      <c r="BG11" s="186"/>
      <c r="BH11" s="186"/>
      <c r="BI11" s="186"/>
      <c r="BJ11" s="186"/>
      <c r="BK11" s="186"/>
      <c r="BL11" s="186"/>
      <c r="BM11" s="186"/>
      <c r="BN11" s="186"/>
      <c r="BO11" s="186"/>
      <c r="BP11" s="186"/>
      <c r="BQ11" s="182"/>
      <c r="BR11" s="178">
        <v>0</v>
      </c>
      <c r="BS11" s="190">
        <v>300000</v>
      </c>
      <c r="BT11" s="186">
        <v>388102</v>
      </c>
      <c r="BU11" s="181" t="s">
        <v>598</v>
      </c>
      <c r="BV11" s="181">
        <v>7</v>
      </c>
      <c r="BW11" s="181" t="s">
        <v>98</v>
      </c>
      <c r="BX11" s="181" t="s">
        <v>521</v>
      </c>
      <c r="BY11" s="181" t="s">
        <v>95</v>
      </c>
      <c r="BZ11" s="181">
        <v>2</v>
      </c>
      <c r="CA11" s="181" t="s">
        <v>94</v>
      </c>
      <c r="CB11" s="181" t="s">
        <v>527</v>
      </c>
      <c r="CC11" s="181" t="s">
        <v>599</v>
      </c>
      <c r="CD11" s="181">
        <v>30</v>
      </c>
      <c r="CE11" s="181" t="s">
        <v>134</v>
      </c>
      <c r="CF11" s="181" t="s">
        <v>529</v>
      </c>
      <c r="CG11" s="181" t="s">
        <v>600</v>
      </c>
      <c r="CH11" s="181">
        <v>1</v>
      </c>
      <c r="CI11" s="181" t="s">
        <v>94</v>
      </c>
      <c r="CJ11" s="181" t="s">
        <v>527</v>
      </c>
      <c r="CK11" s="181" t="s">
        <v>601</v>
      </c>
      <c r="CL11" s="181">
        <v>20</v>
      </c>
      <c r="CM11" s="181" t="s">
        <v>352</v>
      </c>
      <c r="CN11" s="181" t="s">
        <v>529</v>
      </c>
      <c r="CO11" s="181" t="s">
        <v>602</v>
      </c>
      <c r="CP11" s="181">
        <v>5</v>
      </c>
      <c r="CQ11" s="181" t="s">
        <v>94</v>
      </c>
      <c r="CR11" s="181" t="s">
        <v>524</v>
      </c>
      <c r="CS11" s="181" t="s">
        <v>603</v>
      </c>
      <c r="CT11" s="181">
        <v>2</v>
      </c>
      <c r="CU11" s="181" t="s">
        <v>604</v>
      </c>
      <c r="CV11" s="181" t="s">
        <v>527</v>
      </c>
      <c r="CW11" s="181" t="s">
        <v>605</v>
      </c>
      <c r="CX11" s="181">
        <v>30</v>
      </c>
      <c r="CY11" s="181" t="s">
        <v>606</v>
      </c>
      <c r="CZ11" s="181" t="s">
        <v>529</v>
      </c>
      <c r="DA11" s="181" t="s">
        <v>97</v>
      </c>
      <c r="DB11" s="181">
        <v>10</v>
      </c>
      <c r="DC11" s="181" t="s">
        <v>94</v>
      </c>
      <c r="DD11" s="181" t="s">
        <v>530</v>
      </c>
      <c r="DE11" s="181" t="s">
        <v>373</v>
      </c>
      <c r="DF11" s="181">
        <v>900</v>
      </c>
      <c r="DG11" s="181" t="s">
        <v>531</v>
      </c>
      <c r="DH11" s="181" t="s">
        <v>532</v>
      </c>
      <c r="DI11" s="181" t="s">
        <v>29</v>
      </c>
      <c r="DJ11" s="181" t="s">
        <v>29</v>
      </c>
      <c r="DK11" s="181" t="s">
        <v>29</v>
      </c>
      <c r="DL11" s="181" t="s">
        <v>29</v>
      </c>
      <c r="DM11" s="181" t="s">
        <v>29</v>
      </c>
      <c r="DN11" s="181" t="s">
        <v>29</v>
      </c>
      <c r="DO11" s="181" t="s">
        <v>29</v>
      </c>
      <c r="DP11" s="181" t="s">
        <v>29</v>
      </c>
      <c r="DQ11" s="181" t="s">
        <v>29</v>
      </c>
      <c r="DR11" s="181" t="s">
        <v>29</v>
      </c>
      <c r="DS11" s="181" t="s">
        <v>29</v>
      </c>
      <c r="DT11" s="181" t="s">
        <v>29</v>
      </c>
      <c r="DU11" s="181" t="s">
        <v>29</v>
      </c>
      <c r="DV11" s="181" t="s">
        <v>29</v>
      </c>
      <c r="DW11" s="181" t="s">
        <v>29</v>
      </c>
      <c r="DX11" s="181" t="s">
        <v>29</v>
      </c>
      <c r="DY11" s="181" t="s">
        <v>29</v>
      </c>
      <c r="DZ11" s="181" t="s">
        <v>29</v>
      </c>
      <c r="EA11" s="181" t="s">
        <v>29</v>
      </c>
      <c r="EB11" s="181" t="s">
        <v>29</v>
      </c>
      <c r="EC11" s="181" t="s">
        <v>29</v>
      </c>
      <c r="ED11" s="181" t="s">
        <v>29</v>
      </c>
      <c r="EE11" s="181" t="s">
        <v>29</v>
      </c>
      <c r="EF11" s="181" t="s">
        <v>29</v>
      </c>
      <c r="EG11" s="181" t="s">
        <v>29</v>
      </c>
      <c r="EH11" s="181" t="s">
        <v>29</v>
      </c>
      <c r="EI11" s="181" t="s">
        <v>29</v>
      </c>
      <c r="EJ11" s="181" t="s">
        <v>29</v>
      </c>
      <c r="EK11" s="181" t="s">
        <v>29</v>
      </c>
      <c r="EL11" s="181" t="s">
        <v>29</v>
      </c>
      <c r="EM11" s="181" t="s">
        <v>29</v>
      </c>
      <c r="EN11" s="181" t="s">
        <v>29</v>
      </c>
    </row>
    <row r="12" spans="1:146" ht="15">
      <c r="A12" s="178" t="str">
        <f t="shared" si="0"/>
        <v>MIZPP06044936354A</v>
      </c>
      <c r="B12" s="186" t="s">
        <v>154</v>
      </c>
      <c r="C12" s="187" t="s">
        <v>200</v>
      </c>
      <c r="D12" s="186" t="s">
        <v>417</v>
      </c>
      <c r="E12" s="186">
        <v>44936354</v>
      </c>
      <c r="F12" s="186" t="s">
        <v>429</v>
      </c>
      <c r="H12" s="187"/>
      <c r="L12" s="188"/>
      <c r="M12" s="186" t="s">
        <v>429</v>
      </c>
      <c r="N12" s="187"/>
      <c r="O12" s="188"/>
      <c r="P12" s="187"/>
      <c r="Q12" s="186" t="s">
        <v>444</v>
      </c>
      <c r="S12" s="187"/>
      <c r="T12" s="187"/>
      <c r="Y12" s="186" t="s">
        <v>461</v>
      </c>
      <c r="Z12" s="189">
        <v>128448</v>
      </c>
      <c r="AA12" s="189">
        <v>19250</v>
      </c>
      <c r="AB12" s="182">
        <v>147698</v>
      </c>
      <c r="AC12" s="189">
        <v>19200</v>
      </c>
      <c r="AD12" s="189">
        <v>0</v>
      </c>
      <c r="AE12" s="182">
        <f t="shared" si="1"/>
        <v>19200</v>
      </c>
      <c r="AF12" s="189">
        <v>0</v>
      </c>
      <c r="AG12" s="185"/>
      <c r="AK12" s="182">
        <f t="shared" si="2"/>
        <v>0</v>
      </c>
      <c r="AL12" s="185" t="s">
        <v>29</v>
      </c>
      <c r="AM12" s="185" t="s">
        <v>29</v>
      </c>
      <c r="AN12" s="185" t="s">
        <v>29</v>
      </c>
      <c r="AO12" s="186" t="s">
        <v>29</v>
      </c>
      <c r="AP12" s="182">
        <v>0</v>
      </c>
      <c r="AQ12" s="189">
        <v>5000</v>
      </c>
      <c r="AR12" s="189">
        <v>0</v>
      </c>
      <c r="AS12" s="189">
        <v>5000</v>
      </c>
      <c r="AT12" s="189">
        <v>5000</v>
      </c>
      <c r="AU12" s="189">
        <v>6750</v>
      </c>
      <c r="AV12" s="189">
        <v>8000</v>
      </c>
      <c r="AW12" s="189">
        <v>0</v>
      </c>
      <c r="AX12" s="189">
        <v>0</v>
      </c>
      <c r="AY12" s="186" t="s">
        <v>495</v>
      </c>
      <c r="AZ12" s="186">
        <v>40000</v>
      </c>
      <c r="BA12" s="186" t="s">
        <v>251</v>
      </c>
      <c r="BB12" s="186">
        <v>6000</v>
      </c>
      <c r="BC12" s="186"/>
      <c r="BD12" s="186"/>
      <c r="BE12" s="186"/>
      <c r="BF12" s="186"/>
      <c r="BG12" s="186"/>
      <c r="BH12" s="186"/>
      <c r="BI12" s="186"/>
      <c r="BJ12" s="186"/>
      <c r="BK12" s="186"/>
      <c r="BL12" s="186"/>
      <c r="BM12" s="186"/>
      <c r="BN12" s="186"/>
      <c r="BO12" s="186"/>
      <c r="BP12" s="186"/>
      <c r="BQ12" s="182"/>
      <c r="BR12" s="178">
        <v>0</v>
      </c>
      <c r="BS12" s="190">
        <v>242648</v>
      </c>
      <c r="BT12" s="186">
        <v>136489</v>
      </c>
      <c r="BU12" s="181" t="s">
        <v>607</v>
      </c>
      <c r="BV12" s="181">
        <v>1</v>
      </c>
      <c r="BW12" s="181" t="s">
        <v>94</v>
      </c>
      <c r="BX12" s="181" t="s">
        <v>527</v>
      </c>
      <c r="BY12" s="181" t="s">
        <v>608</v>
      </c>
      <c r="BZ12" s="181">
        <v>20</v>
      </c>
      <c r="CA12" s="181" t="s">
        <v>352</v>
      </c>
      <c r="CB12" s="181" t="s">
        <v>529</v>
      </c>
      <c r="CC12" s="181" t="s">
        <v>609</v>
      </c>
      <c r="CD12" s="181">
        <v>1</v>
      </c>
      <c r="CE12" s="181" t="s">
        <v>94</v>
      </c>
      <c r="CF12" s="181" t="s">
        <v>527</v>
      </c>
      <c r="CG12" s="181" t="s">
        <v>610</v>
      </c>
      <c r="CH12" s="181">
        <v>10</v>
      </c>
      <c r="CI12" s="181" t="s">
        <v>352</v>
      </c>
      <c r="CJ12" s="181" t="s">
        <v>529</v>
      </c>
      <c r="CK12" s="181" t="s">
        <v>611</v>
      </c>
      <c r="CL12" s="181">
        <v>10</v>
      </c>
      <c r="CM12" s="181" t="s">
        <v>94</v>
      </c>
      <c r="CN12" s="181" t="s">
        <v>527</v>
      </c>
      <c r="CO12" s="181" t="s">
        <v>612</v>
      </c>
      <c r="CP12" s="181">
        <v>40</v>
      </c>
      <c r="CQ12" s="181" t="s">
        <v>352</v>
      </c>
      <c r="CR12" s="181" t="s">
        <v>529</v>
      </c>
      <c r="CS12" s="181" t="s">
        <v>613</v>
      </c>
      <c r="CT12" s="181">
        <v>15</v>
      </c>
      <c r="CU12" s="181" t="s">
        <v>94</v>
      </c>
      <c r="CV12" s="181" t="s">
        <v>527</v>
      </c>
      <c r="CW12" s="181" t="s">
        <v>614</v>
      </c>
      <c r="CX12" s="181">
        <v>75</v>
      </c>
      <c r="CY12" s="181" t="s">
        <v>352</v>
      </c>
      <c r="CZ12" s="181" t="s">
        <v>529</v>
      </c>
      <c r="DA12" s="181" t="s">
        <v>615</v>
      </c>
      <c r="DB12" s="181">
        <v>75</v>
      </c>
      <c r="DC12" s="181" t="s">
        <v>134</v>
      </c>
      <c r="DD12" s="181" t="s">
        <v>538</v>
      </c>
      <c r="DE12" s="181" t="s">
        <v>370</v>
      </c>
      <c r="DF12" s="181">
        <v>210</v>
      </c>
      <c r="DG12" s="181" t="s">
        <v>369</v>
      </c>
      <c r="DH12" s="181" t="s">
        <v>540</v>
      </c>
      <c r="DI12" s="181" t="s">
        <v>616</v>
      </c>
      <c r="DJ12" s="181">
        <v>1</v>
      </c>
      <c r="DK12" s="181" t="s">
        <v>94</v>
      </c>
      <c r="DL12" s="181" t="s">
        <v>534</v>
      </c>
      <c r="DM12" s="181" t="s">
        <v>617</v>
      </c>
      <c r="DN12" s="181">
        <v>400</v>
      </c>
      <c r="DO12" s="181" t="s">
        <v>536</v>
      </c>
      <c r="DP12" s="181" t="s">
        <v>537</v>
      </c>
      <c r="DQ12" s="181" t="s">
        <v>618</v>
      </c>
      <c r="DR12" s="181">
        <v>17</v>
      </c>
      <c r="DS12" s="181" t="s">
        <v>94</v>
      </c>
      <c r="DT12" s="181" t="s">
        <v>530</v>
      </c>
      <c r="DU12" s="181" t="s">
        <v>619</v>
      </c>
      <c r="DV12" s="181">
        <v>30000</v>
      </c>
      <c r="DW12" s="181" t="s">
        <v>531</v>
      </c>
      <c r="DX12" s="181" t="s">
        <v>532</v>
      </c>
      <c r="DY12" s="181" t="s">
        <v>620</v>
      </c>
      <c r="DZ12" s="181">
        <v>4</v>
      </c>
      <c r="EA12" s="181" t="s">
        <v>94</v>
      </c>
      <c r="EB12" s="181" t="s">
        <v>527</v>
      </c>
      <c r="EC12" s="181" t="s">
        <v>621</v>
      </c>
      <c r="ED12" s="181">
        <v>2000</v>
      </c>
      <c r="EE12" s="181" t="s">
        <v>352</v>
      </c>
      <c r="EF12" s="181" t="s">
        <v>529</v>
      </c>
      <c r="EG12" s="181" t="s">
        <v>29</v>
      </c>
      <c r="EH12" s="181" t="s">
        <v>29</v>
      </c>
      <c r="EI12" s="181" t="s">
        <v>29</v>
      </c>
      <c r="EJ12" s="181" t="s">
        <v>29</v>
      </c>
      <c r="EK12" s="181" t="s">
        <v>29</v>
      </c>
      <c r="EL12" s="181" t="s">
        <v>29</v>
      </c>
      <c r="EM12" s="181" t="s">
        <v>29</v>
      </c>
      <c r="EN12" s="181" t="s">
        <v>29</v>
      </c>
    </row>
    <row r="13" spans="1:146" ht="15">
      <c r="A13" s="178" t="str">
        <f t="shared" si="0"/>
        <v>MIZPP06144936427A</v>
      </c>
      <c r="B13" s="186" t="s">
        <v>404</v>
      </c>
      <c r="C13" s="187" t="s">
        <v>200</v>
      </c>
      <c r="D13" s="186" t="s">
        <v>418</v>
      </c>
      <c r="E13" s="186">
        <v>44936427</v>
      </c>
      <c r="F13" s="186" t="s">
        <v>430</v>
      </c>
      <c r="H13" s="187"/>
      <c r="L13" s="188"/>
      <c r="M13" s="186" t="s">
        <v>430</v>
      </c>
      <c r="N13" s="187"/>
      <c r="O13" s="188"/>
      <c r="P13" s="187"/>
      <c r="Q13" s="186" t="s">
        <v>445</v>
      </c>
      <c r="S13" s="187"/>
      <c r="T13" s="187"/>
      <c r="Y13" s="186" t="s">
        <v>462</v>
      </c>
      <c r="Z13" s="189">
        <v>280000</v>
      </c>
      <c r="AA13" s="189">
        <v>0</v>
      </c>
      <c r="AB13" s="182">
        <v>280000</v>
      </c>
      <c r="AC13" s="189">
        <v>0</v>
      </c>
      <c r="AD13" s="189">
        <v>0</v>
      </c>
      <c r="AE13" s="182">
        <f t="shared" si="1"/>
        <v>0</v>
      </c>
      <c r="AF13" s="189">
        <v>5000</v>
      </c>
      <c r="AG13" s="185"/>
      <c r="AK13" s="182">
        <f t="shared" si="2"/>
        <v>5000</v>
      </c>
      <c r="AL13" s="185" t="s">
        <v>29</v>
      </c>
      <c r="AM13" s="185" t="s">
        <v>29</v>
      </c>
      <c r="AN13" s="185" t="s">
        <v>29</v>
      </c>
      <c r="AO13" s="186" t="s">
        <v>29</v>
      </c>
      <c r="AP13" s="182">
        <v>0</v>
      </c>
      <c r="AQ13" s="189">
        <v>0</v>
      </c>
      <c r="AR13" s="189">
        <v>0</v>
      </c>
      <c r="AS13" s="189">
        <v>0</v>
      </c>
      <c r="AT13" s="189">
        <v>0</v>
      </c>
      <c r="AU13" s="189">
        <v>5000</v>
      </c>
      <c r="AV13" s="189">
        <v>0</v>
      </c>
      <c r="AW13" s="189">
        <v>0</v>
      </c>
      <c r="AX13" s="189">
        <v>10000</v>
      </c>
      <c r="AY13" s="186" t="s">
        <v>364</v>
      </c>
      <c r="AZ13" s="186"/>
      <c r="BA13" s="186"/>
      <c r="BB13" s="186"/>
      <c r="BC13" s="186"/>
      <c r="BD13" s="186"/>
      <c r="BE13" s="186"/>
      <c r="BF13" s="186"/>
      <c r="BG13" s="186"/>
      <c r="BH13" s="186"/>
      <c r="BI13" s="186"/>
      <c r="BJ13" s="186"/>
      <c r="BK13" s="186"/>
      <c r="BL13" s="186"/>
      <c r="BM13" s="186"/>
      <c r="BN13" s="186"/>
      <c r="BO13" s="186"/>
      <c r="BP13" s="186"/>
      <c r="BQ13" s="182"/>
      <c r="BR13" s="178">
        <v>0</v>
      </c>
      <c r="BS13" s="190">
        <v>300000</v>
      </c>
      <c r="BT13" s="186">
        <v>1310000</v>
      </c>
      <c r="BU13" s="181" t="s">
        <v>622</v>
      </c>
      <c r="BV13" s="181">
        <v>45</v>
      </c>
      <c r="BW13" s="181" t="s">
        <v>170</v>
      </c>
      <c r="BX13" s="181" t="s">
        <v>623</v>
      </c>
      <c r="BY13" s="181" t="s">
        <v>133</v>
      </c>
      <c r="BZ13" s="181">
        <v>45</v>
      </c>
      <c r="CA13" s="181" t="s">
        <v>134</v>
      </c>
      <c r="CB13" s="181" t="s">
        <v>538</v>
      </c>
      <c r="CC13" s="181" t="s">
        <v>539</v>
      </c>
      <c r="CD13" s="181">
        <v>350</v>
      </c>
      <c r="CE13" s="181" t="s">
        <v>369</v>
      </c>
      <c r="CF13" s="181" t="s">
        <v>540</v>
      </c>
      <c r="CG13" s="181" t="s">
        <v>624</v>
      </c>
      <c r="CH13" s="181">
        <v>10</v>
      </c>
      <c r="CI13" s="181" t="s">
        <v>94</v>
      </c>
      <c r="CJ13" s="181" t="s">
        <v>527</v>
      </c>
      <c r="CK13" s="181" t="s">
        <v>625</v>
      </c>
      <c r="CL13" s="181">
        <v>100</v>
      </c>
      <c r="CM13" s="181" t="s">
        <v>352</v>
      </c>
      <c r="CN13" s="181" t="s">
        <v>529</v>
      </c>
      <c r="CO13" s="181" t="s">
        <v>29</v>
      </c>
      <c r="CP13" s="181" t="s">
        <v>29</v>
      </c>
      <c r="CQ13" s="181" t="s">
        <v>29</v>
      </c>
      <c r="CR13" s="181" t="s">
        <v>29</v>
      </c>
      <c r="CS13" s="181" t="s">
        <v>29</v>
      </c>
      <c r="CT13" s="181" t="s">
        <v>29</v>
      </c>
      <c r="CU13" s="181" t="s">
        <v>29</v>
      </c>
      <c r="CV13" s="181" t="s">
        <v>29</v>
      </c>
      <c r="CW13" s="181" t="s">
        <v>29</v>
      </c>
      <c r="CX13" s="181" t="s">
        <v>29</v>
      </c>
      <c r="CY13" s="181" t="s">
        <v>29</v>
      </c>
      <c r="CZ13" s="181" t="s">
        <v>29</v>
      </c>
      <c r="DA13" s="181" t="s">
        <v>29</v>
      </c>
      <c r="DB13" s="181" t="s">
        <v>29</v>
      </c>
      <c r="DC13" s="181" t="s">
        <v>29</v>
      </c>
      <c r="DD13" s="181" t="s">
        <v>29</v>
      </c>
      <c r="DE13" s="181" t="s">
        <v>29</v>
      </c>
      <c r="DF13" s="181" t="s">
        <v>29</v>
      </c>
      <c r="DG13" s="181" t="s">
        <v>29</v>
      </c>
      <c r="DH13" s="181" t="s">
        <v>29</v>
      </c>
      <c r="DI13" s="181" t="s">
        <v>29</v>
      </c>
      <c r="DJ13" s="181" t="s">
        <v>29</v>
      </c>
      <c r="DK13" s="181" t="s">
        <v>29</v>
      </c>
      <c r="DL13" s="181" t="s">
        <v>29</v>
      </c>
      <c r="DM13" s="181" t="s">
        <v>29</v>
      </c>
      <c r="DN13" s="181" t="s">
        <v>29</v>
      </c>
      <c r="DO13" s="181" t="s">
        <v>29</v>
      </c>
      <c r="DP13" s="181" t="s">
        <v>29</v>
      </c>
      <c r="DQ13" s="181" t="s">
        <v>29</v>
      </c>
      <c r="DR13" s="181" t="s">
        <v>29</v>
      </c>
      <c r="DS13" s="181" t="s">
        <v>29</v>
      </c>
      <c r="DT13" s="181" t="s">
        <v>29</v>
      </c>
      <c r="DU13" s="181" t="s">
        <v>29</v>
      </c>
      <c r="DV13" s="181" t="s">
        <v>29</v>
      </c>
      <c r="DW13" s="181" t="s">
        <v>29</v>
      </c>
      <c r="DX13" s="181" t="s">
        <v>29</v>
      </c>
      <c r="DY13" s="181" t="s">
        <v>29</v>
      </c>
      <c r="DZ13" s="181" t="s">
        <v>29</v>
      </c>
      <c r="EA13" s="181" t="s">
        <v>29</v>
      </c>
      <c r="EB13" s="181" t="s">
        <v>29</v>
      </c>
      <c r="EC13" s="181" t="s">
        <v>29</v>
      </c>
      <c r="ED13" s="181" t="s">
        <v>29</v>
      </c>
      <c r="EE13" s="181" t="s">
        <v>29</v>
      </c>
      <c r="EF13" s="181" t="s">
        <v>29</v>
      </c>
      <c r="EG13" s="181" t="s">
        <v>29</v>
      </c>
      <c r="EH13" s="181" t="s">
        <v>29</v>
      </c>
      <c r="EI13" s="181" t="s">
        <v>29</v>
      </c>
      <c r="EJ13" s="181" t="s">
        <v>29</v>
      </c>
      <c r="EK13" s="181" t="s">
        <v>29</v>
      </c>
      <c r="EL13" s="181" t="s">
        <v>29</v>
      </c>
      <c r="EM13" s="181" t="s">
        <v>29</v>
      </c>
      <c r="EN13" s="181" t="s">
        <v>29</v>
      </c>
    </row>
    <row r="14" spans="1:146" ht="15">
      <c r="A14" s="178" t="str">
        <f t="shared" si="0"/>
        <v>MIZPP07722875352A</v>
      </c>
      <c r="B14" s="186" t="s">
        <v>405</v>
      </c>
      <c r="C14" s="187" t="s">
        <v>200</v>
      </c>
      <c r="D14" s="186" t="s">
        <v>384</v>
      </c>
      <c r="E14" s="186">
        <v>22875352</v>
      </c>
      <c r="F14" s="186" t="s">
        <v>431</v>
      </c>
      <c r="H14" s="187"/>
      <c r="L14" s="188"/>
      <c r="M14" s="186" t="s">
        <v>431</v>
      </c>
      <c r="N14" s="187"/>
      <c r="O14" s="188"/>
      <c r="P14" s="187"/>
      <c r="Q14" s="186" t="s">
        <v>446</v>
      </c>
      <c r="S14" s="187"/>
      <c r="T14" s="187"/>
      <c r="Y14" s="186" t="s">
        <v>463</v>
      </c>
      <c r="Z14" s="189">
        <v>240840</v>
      </c>
      <c r="AA14" s="189">
        <v>30000</v>
      </c>
      <c r="AB14" s="182">
        <v>270840</v>
      </c>
      <c r="AC14" s="189">
        <v>10000</v>
      </c>
      <c r="AD14" s="189">
        <v>0</v>
      </c>
      <c r="AE14" s="182">
        <f t="shared" si="1"/>
        <v>10000</v>
      </c>
      <c r="AF14" s="189">
        <v>2560</v>
      </c>
      <c r="AG14" s="185"/>
      <c r="AK14" s="182">
        <f t="shared" si="2"/>
        <v>2560</v>
      </c>
      <c r="AL14" s="185" t="s">
        <v>29</v>
      </c>
      <c r="AM14" s="185" t="s">
        <v>29</v>
      </c>
      <c r="AN14" s="185" t="s">
        <v>29</v>
      </c>
      <c r="AO14" s="186" t="s">
        <v>29</v>
      </c>
      <c r="AP14" s="182">
        <v>0</v>
      </c>
      <c r="AQ14" s="189">
        <v>0</v>
      </c>
      <c r="AR14" s="189">
        <v>1600</v>
      </c>
      <c r="AS14" s="189">
        <v>0</v>
      </c>
      <c r="AT14" s="189">
        <v>0</v>
      </c>
      <c r="AU14" s="189">
        <v>15000</v>
      </c>
      <c r="AV14" s="189">
        <v>0</v>
      </c>
      <c r="AW14" s="189">
        <v>0</v>
      </c>
      <c r="AX14" s="189">
        <v>0</v>
      </c>
      <c r="AY14" s="186"/>
      <c r="AZ14" s="186"/>
      <c r="BA14" s="186"/>
      <c r="BB14" s="186"/>
      <c r="BC14" s="186"/>
      <c r="BD14" s="186"/>
      <c r="BE14" s="186"/>
      <c r="BF14" s="186"/>
      <c r="BG14" s="186"/>
      <c r="BH14" s="186"/>
      <c r="BI14" s="186"/>
      <c r="BJ14" s="186"/>
      <c r="BK14" s="186"/>
      <c r="BL14" s="186"/>
      <c r="BM14" s="186"/>
      <c r="BN14" s="186"/>
      <c r="BO14" s="186"/>
      <c r="BP14" s="186"/>
      <c r="BQ14" s="182"/>
      <c r="BR14" s="178">
        <v>0</v>
      </c>
      <c r="BS14" s="190">
        <v>300000</v>
      </c>
      <c r="BT14" s="186">
        <v>204500</v>
      </c>
      <c r="BU14" s="181" t="s">
        <v>337</v>
      </c>
      <c r="BV14" s="181">
        <v>20</v>
      </c>
      <c r="BW14" s="181" t="s">
        <v>94</v>
      </c>
      <c r="BX14" s="181" t="s">
        <v>524</v>
      </c>
      <c r="BY14" s="181" t="s">
        <v>626</v>
      </c>
      <c r="BZ14" s="181">
        <v>170</v>
      </c>
      <c r="CA14" s="181" t="s">
        <v>94</v>
      </c>
      <c r="CB14" s="181" t="s">
        <v>627</v>
      </c>
      <c r="CC14" s="181" t="s">
        <v>130</v>
      </c>
      <c r="CD14" s="181">
        <v>6</v>
      </c>
      <c r="CE14" s="181" t="s">
        <v>94</v>
      </c>
      <c r="CF14" s="181" t="s">
        <v>527</v>
      </c>
      <c r="CG14" s="181" t="s">
        <v>625</v>
      </c>
      <c r="CH14" s="181">
        <v>2000</v>
      </c>
      <c r="CI14" s="181" t="s">
        <v>352</v>
      </c>
      <c r="CJ14" s="181" t="s">
        <v>529</v>
      </c>
      <c r="CK14" s="181" t="s">
        <v>334</v>
      </c>
      <c r="CL14" s="181">
        <v>100</v>
      </c>
      <c r="CM14" s="181" t="s">
        <v>94</v>
      </c>
      <c r="CN14" s="181" t="s">
        <v>570</v>
      </c>
      <c r="CO14" s="181" t="s">
        <v>151</v>
      </c>
      <c r="CP14" s="181">
        <v>1</v>
      </c>
      <c r="CQ14" s="181" t="s">
        <v>94</v>
      </c>
      <c r="CR14" s="181" t="s">
        <v>534</v>
      </c>
      <c r="CS14" s="181" t="s">
        <v>628</v>
      </c>
      <c r="CT14" s="181">
        <v>800</v>
      </c>
      <c r="CU14" s="181" t="s">
        <v>536</v>
      </c>
      <c r="CV14" s="181" t="s">
        <v>537</v>
      </c>
      <c r="CW14" s="181" t="s">
        <v>629</v>
      </c>
      <c r="CX14" s="181">
        <v>1</v>
      </c>
      <c r="CY14" s="181" t="s">
        <v>94</v>
      </c>
      <c r="CZ14" s="181" t="s">
        <v>534</v>
      </c>
      <c r="DA14" s="181" t="s">
        <v>630</v>
      </c>
      <c r="DB14" s="181">
        <v>1000</v>
      </c>
      <c r="DC14" s="181" t="s">
        <v>536</v>
      </c>
      <c r="DD14" s="181" t="s">
        <v>537</v>
      </c>
      <c r="DE14" s="181" t="s">
        <v>631</v>
      </c>
      <c r="DF14" s="181">
        <v>1</v>
      </c>
      <c r="DG14" s="181" t="s">
        <v>94</v>
      </c>
      <c r="DH14" s="181" t="s">
        <v>534</v>
      </c>
      <c r="DI14" s="181" t="s">
        <v>632</v>
      </c>
      <c r="DJ14" s="181">
        <v>100000</v>
      </c>
      <c r="DK14" s="181" t="s">
        <v>536</v>
      </c>
      <c r="DL14" s="181" t="s">
        <v>537</v>
      </c>
      <c r="DM14" s="181" t="s">
        <v>633</v>
      </c>
      <c r="DN14" s="181">
        <v>1</v>
      </c>
      <c r="DO14" s="181" t="s">
        <v>94</v>
      </c>
      <c r="DP14" s="181" t="s">
        <v>534</v>
      </c>
      <c r="DQ14" s="181" t="s">
        <v>634</v>
      </c>
      <c r="DR14" s="181">
        <v>200</v>
      </c>
      <c r="DS14" s="181" t="s">
        <v>536</v>
      </c>
      <c r="DT14" s="181" t="s">
        <v>537</v>
      </c>
      <c r="DU14" s="181" t="s">
        <v>133</v>
      </c>
      <c r="DV14" s="181">
        <v>200</v>
      </c>
      <c r="DW14" s="181" t="s">
        <v>134</v>
      </c>
      <c r="DX14" s="181" t="s">
        <v>538</v>
      </c>
      <c r="DY14" s="181" t="s">
        <v>539</v>
      </c>
      <c r="DZ14" s="181">
        <v>100</v>
      </c>
      <c r="EA14" s="181" t="s">
        <v>369</v>
      </c>
      <c r="EB14" s="181" t="s">
        <v>540</v>
      </c>
      <c r="EC14" s="181" t="s">
        <v>29</v>
      </c>
      <c r="ED14" s="181" t="s">
        <v>29</v>
      </c>
      <c r="EE14" s="181" t="s">
        <v>29</v>
      </c>
      <c r="EF14" s="181" t="s">
        <v>29</v>
      </c>
      <c r="EG14" s="181" t="s">
        <v>29</v>
      </c>
      <c r="EH14" s="181" t="s">
        <v>29</v>
      </c>
      <c r="EI14" s="181" t="s">
        <v>29</v>
      </c>
      <c r="EJ14" s="181" t="s">
        <v>29</v>
      </c>
      <c r="EK14" s="181" t="s">
        <v>29</v>
      </c>
      <c r="EL14" s="181" t="s">
        <v>29</v>
      </c>
      <c r="EM14" s="181" t="s">
        <v>29</v>
      </c>
      <c r="EN14" s="181" t="s">
        <v>29</v>
      </c>
      <c r="EO14" s="179"/>
      <c r="EP14" s="179"/>
    </row>
    <row r="15" spans="1:146" ht="15">
      <c r="A15" s="178" t="str">
        <f t="shared" si="0"/>
        <v>MIZPP08470288950A</v>
      </c>
      <c r="B15" s="186" t="s">
        <v>202</v>
      </c>
      <c r="C15" s="187" t="s">
        <v>200</v>
      </c>
      <c r="D15" s="186" t="s">
        <v>419</v>
      </c>
      <c r="E15" s="186">
        <v>70288950</v>
      </c>
      <c r="F15" s="186" t="s">
        <v>432</v>
      </c>
      <c r="H15" s="187"/>
      <c r="L15" s="188"/>
      <c r="M15" s="186" t="s">
        <v>432</v>
      </c>
      <c r="N15" s="187"/>
      <c r="O15" s="188"/>
      <c r="P15" s="187"/>
      <c r="Q15" s="186" t="s">
        <v>447</v>
      </c>
      <c r="S15" s="187"/>
      <c r="T15" s="187"/>
      <c r="Y15" s="186" t="s">
        <v>464</v>
      </c>
      <c r="Z15" s="189">
        <v>222657</v>
      </c>
      <c r="AA15" s="189">
        <v>10000</v>
      </c>
      <c r="AB15" s="182">
        <v>232657</v>
      </c>
      <c r="AC15" s="189">
        <v>0</v>
      </c>
      <c r="AD15" s="189">
        <v>0</v>
      </c>
      <c r="AE15" s="182">
        <f t="shared" si="1"/>
        <v>0</v>
      </c>
      <c r="AF15" s="189">
        <v>30000</v>
      </c>
      <c r="AG15" s="185"/>
      <c r="AK15" s="182">
        <f t="shared" si="2"/>
        <v>30000</v>
      </c>
      <c r="AL15" s="185" t="s">
        <v>29</v>
      </c>
      <c r="AM15" s="185" t="s">
        <v>29</v>
      </c>
      <c r="AN15" s="185" t="s">
        <v>29</v>
      </c>
      <c r="AO15" s="186" t="s">
        <v>29</v>
      </c>
      <c r="AP15" s="182">
        <v>0</v>
      </c>
      <c r="AQ15" s="189"/>
      <c r="AR15" s="189"/>
      <c r="AS15" s="189"/>
      <c r="AT15" s="189">
        <v>2400</v>
      </c>
      <c r="AU15" s="189">
        <v>4500</v>
      </c>
      <c r="AV15" s="189">
        <v>19000</v>
      </c>
      <c r="AW15" s="189"/>
      <c r="AX15" s="189"/>
      <c r="AY15" s="186" t="s">
        <v>496</v>
      </c>
      <c r="AZ15" s="186">
        <v>5000</v>
      </c>
      <c r="BA15" s="186" t="s">
        <v>497</v>
      </c>
      <c r="BB15" s="186">
        <v>2000</v>
      </c>
      <c r="BC15" s="186"/>
      <c r="BD15" s="186"/>
      <c r="BE15" s="186"/>
      <c r="BF15" s="186"/>
      <c r="BG15" s="186"/>
      <c r="BH15" s="186"/>
      <c r="BI15" s="186"/>
      <c r="BJ15" s="186"/>
      <c r="BK15" s="186"/>
      <c r="BL15" s="186"/>
      <c r="BM15" s="186"/>
      <c r="BN15" s="186"/>
      <c r="BO15" s="186"/>
      <c r="BP15" s="186"/>
      <c r="BQ15" s="182"/>
      <c r="BR15" s="178">
        <v>0</v>
      </c>
      <c r="BS15" s="190">
        <v>295557</v>
      </c>
      <c r="BT15" s="186">
        <v>219525</v>
      </c>
      <c r="BU15" s="181" t="s">
        <v>635</v>
      </c>
      <c r="BV15" s="181">
        <v>12</v>
      </c>
      <c r="BW15" s="181" t="s">
        <v>94</v>
      </c>
      <c r="BX15" s="181" t="s">
        <v>527</v>
      </c>
      <c r="BY15" s="181" t="s">
        <v>636</v>
      </c>
      <c r="BZ15" s="181">
        <v>140</v>
      </c>
      <c r="CA15" s="181" t="s">
        <v>352</v>
      </c>
      <c r="CB15" s="181" t="s">
        <v>529</v>
      </c>
      <c r="CC15" s="181" t="s">
        <v>97</v>
      </c>
      <c r="CD15" s="181">
        <v>30</v>
      </c>
      <c r="CE15" s="181" t="s">
        <v>94</v>
      </c>
      <c r="CF15" s="181" t="s">
        <v>530</v>
      </c>
      <c r="CG15" s="181" t="s">
        <v>637</v>
      </c>
      <c r="CH15" s="181">
        <v>22000</v>
      </c>
      <c r="CI15" s="181" t="s">
        <v>531</v>
      </c>
      <c r="CJ15" s="181" t="s">
        <v>532</v>
      </c>
      <c r="CK15" s="181" t="s">
        <v>133</v>
      </c>
      <c r="CL15" s="181">
        <v>4</v>
      </c>
      <c r="CM15" s="181" t="s">
        <v>134</v>
      </c>
      <c r="CN15" s="181" t="s">
        <v>538</v>
      </c>
      <c r="CO15" s="181" t="s">
        <v>539</v>
      </c>
      <c r="CP15" s="181">
        <v>320</v>
      </c>
      <c r="CQ15" s="181" t="s">
        <v>369</v>
      </c>
      <c r="CR15" s="181" t="s">
        <v>540</v>
      </c>
      <c r="CS15" s="181" t="s">
        <v>127</v>
      </c>
      <c r="CT15" s="181">
        <v>6</v>
      </c>
      <c r="CU15" s="181" t="s">
        <v>94</v>
      </c>
      <c r="CV15" s="181" t="s">
        <v>638</v>
      </c>
      <c r="CW15" s="181" t="s">
        <v>29</v>
      </c>
      <c r="CX15" s="181" t="s">
        <v>29</v>
      </c>
      <c r="CY15" s="181" t="s">
        <v>29</v>
      </c>
      <c r="CZ15" s="181" t="s">
        <v>29</v>
      </c>
      <c r="DA15" s="181" t="s">
        <v>29</v>
      </c>
      <c r="DB15" s="181" t="s">
        <v>29</v>
      </c>
      <c r="DC15" s="181" t="s">
        <v>29</v>
      </c>
      <c r="DD15" s="181" t="s">
        <v>29</v>
      </c>
      <c r="DE15" s="181" t="s">
        <v>29</v>
      </c>
      <c r="DF15" s="181" t="s">
        <v>29</v>
      </c>
      <c r="DG15" s="181" t="s">
        <v>29</v>
      </c>
      <c r="DH15" s="181" t="s">
        <v>29</v>
      </c>
      <c r="DI15" s="181" t="s">
        <v>29</v>
      </c>
      <c r="DJ15" s="181" t="s">
        <v>29</v>
      </c>
      <c r="DK15" s="181" t="s">
        <v>29</v>
      </c>
      <c r="DL15" s="181" t="s">
        <v>29</v>
      </c>
      <c r="DM15" s="181" t="s">
        <v>29</v>
      </c>
      <c r="DN15" s="181" t="s">
        <v>29</v>
      </c>
      <c r="DO15" s="181" t="s">
        <v>29</v>
      </c>
      <c r="DP15" s="181" t="s">
        <v>29</v>
      </c>
      <c r="DQ15" s="181" t="s">
        <v>29</v>
      </c>
      <c r="DR15" s="181" t="s">
        <v>29</v>
      </c>
      <c r="DS15" s="181" t="s">
        <v>29</v>
      </c>
      <c r="DT15" s="181" t="s">
        <v>29</v>
      </c>
      <c r="DU15" s="181" t="s">
        <v>29</v>
      </c>
      <c r="DV15" s="181" t="s">
        <v>29</v>
      </c>
      <c r="DW15" s="181" t="s">
        <v>29</v>
      </c>
      <c r="DX15" s="181" t="s">
        <v>29</v>
      </c>
      <c r="DY15" s="181" t="s">
        <v>29</v>
      </c>
      <c r="DZ15" s="181" t="s">
        <v>29</v>
      </c>
      <c r="EA15" s="181" t="s">
        <v>29</v>
      </c>
      <c r="EB15" s="181" t="s">
        <v>29</v>
      </c>
      <c r="EC15" s="181" t="s">
        <v>29</v>
      </c>
      <c r="ED15" s="181" t="s">
        <v>29</v>
      </c>
      <c r="EE15" s="181" t="s">
        <v>29</v>
      </c>
      <c r="EF15" s="181" t="s">
        <v>29</v>
      </c>
      <c r="EG15" s="181" t="s">
        <v>29</v>
      </c>
      <c r="EH15" s="181" t="s">
        <v>29</v>
      </c>
      <c r="EI15" s="181" t="s">
        <v>29</v>
      </c>
      <c r="EJ15" s="181" t="s">
        <v>29</v>
      </c>
      <c r="EK15" s="181" t="s">
        <v>29</v>
      </c>
      <c r="EL15" s="181" t="s">
        <v>29</v>
      </c>
      <c r="EM15" s="181" t="s">
        <v>29</v>
      </c>
      <c r="EN15" s="181" t="s">
        <v>29</v>
      </c>
    </row>
    <row r="16" spans="1:146" ht="15">
      <c r="A16" s="178" t="str">
        <f t="shared" si="0"/>
        <v>MIZPP10122743731A</v>
      </c>
      <c r="B16" s="186" t="s">
        <v>406</v>
      </c>
      <c r="C16" s="187" t="s">
        <v>200</v>
      </c>
      <c r="D16" s="186" t="s">
        <v>380</v>
      </c>
      <c r="E16" s="186">
        <v>22743731</v>
      </c>
      <c r="F16" s="186" t="s">
        <v>433</v>
      </c>
      <c r="H16" s="187"/>
      <c r="L16" s="188"/>
      <c r="M16" s="186" t="s">
        <v>433</v>
      </c>
      <c r="N16" s="187"/>
      <c r="O16" s="188"/>
      <c r="P16" s="187"/>
      <c r="Q16" s="186" t="s">
        <v>210</v>
      </c>
      <c r="S16" s="187"/>
      <c r="T16" s="187"/>
      <c r="Y16" s="186" t="s">
        <v>465</v>
      </c>
      <c r="Z16" s="189">
        <v>75000</v>
      </c>
      <c r="AA16" s="189">
        <v>0</v>
      </c>
      <c r="AB16" s="182">
        <v>75000</v>
      </c>
      <c r="AC16" s="189">
        <v>0</v>
      </c>
      <c r="AD16" s="189">
        <v>0</v>
      </c>
      <c r="AE16" s="182">
        <f t="shared" si="1"/>
        <v>0</v>
      </c>
      <c r="AF16" s="189">
        <v>0</v>
      </c>
      <c r="AG16" s="185"/>
      <c r="AK16" s="182">
        <f t="shared" si="2"/>
        <v>0</v>
      </c>
      <c r="AL16" s="185" t="s">
        <v>29</v>
      </c>
      <c r="AM16" s="185" t="s">
        <v>29</v>
      </c>
      <c r="AN16" s="185" t="s">
        <v>29</v>
      </c>
      <c r="AO16" s="186" t="s">
        <v>29</v>
      </c>
      <c r="AP16" s="182">
        <v>0</v>
      </c>
      <c r="AQ16" s="189">
        <v>5000</v>
      </c>
      <c r="AR16" s="189">
        <v>5000</v>
      </c>
      <c r="AS16" s="189">
        <v>5000</v>
      </c>
      <c r="AT16" s="189">
        <v>40000</v>
      </c>
      <c r="AU16" s="189">
        <v>0</v>
      </c>
      <c r="AV16" s="189">
        <v>40000</v>
      </c>
      <c r="AW16" s="189"/>
      <c r="AX16" s="189"/>
      <c r="AY16" s="186" t="s">
        <v>498</v>
      </c>
      <c r="AZ16" s="186">
        <v>20000</v>
      </c>
      <c r="BA16" s="186" t="s">
        <v>499</v>
      </c>
      <c r="BB16" s="186">
        <v>100000</v>
      </c>
      <c r="BC16" s="186"/>
      <c r="BD16" s="186"/>
      <c r="BE16" s="186"/>
      <c r="BF16" s="186"/>
      <c r="BG16" s="186"/>
      <c r="BH16" s="186"/>
      <c r="BI16" s="186"/>
      <c r="BJ16" s="186"/>
      <c r="BK16" s="186"/>
      <c r="BL16" s="186"/>
      <c r="BM16" s="186"/>
      <c r="BN16" s="186"/>
      <c r="BO16" s="186"/>
      <c r="BP16" s="186"/>
      <c r="BQ16" s="182"/>
      <c r="BR16" s="178">
        <v>10000</v>
      </c>
      <c r="BS16" s="190">
        <v>300000</v>
      </c>
      <c r="BT16" s="186">
        <v>129000</v>
      </c>
      <c r="BU16" s="181" t="s">
        <v>639</v>
      </c>
      <c r="BV16" s="181">
        <v>1</v>
      </c>
      <c r="BW16" s="181" t="s">
        <v>94</v>
      </c>
      <c r="BX16" s="181" t="s">
        <v>534</v>
      </c>
      <c r="BY16" s="181" t="s">
        <v>640</v>
      </c>
      <c r="BZ16" s="181">
        <v>3000</v>
      </c>
      <c r="CA16" s="181" t="s">
        <v>536</v>
      </c>
      <c r="CB16" s="181" t="s">
        <v>537</v>
      </c>
      <c r="CC16" s="181" t="s">
        <v>641</v>
      </c>
      <c r="CD16" s="181">
        <v>200000</v>
      </c>
      <c r="CE16" s="181" t="s">
        <v>536</v>
      </c>
      <c r="CF16" s="181" t="s">
        <v>537</v>
      </c>
      <c r="CG16" s="181" t="s">
        <v>642</v>
      </c>
      <c r="CH16" s="181">
        <v>1</v>
      </c>
      <c r="CI16" s="181" t="s">
        <v>94</v>
      </c>
      <c r="CJ16" s="181" t="s">
        <v>530</v>
      </c>
      <c r="CK16" s="181" t="s">
        <v>643</v>
      </c>
      <c r="CL16" s="181">
        <v>15000</v>
      </c>
      <c r="CM16" s="181" t="s">
        <v>531</v>
      </c>
      <c r="CN16" s="181" t="s">
        <v>532</v>
      </c>
      <c r="CO16" s="181" t="s">
        <v>29</v>
      </c>
      <c r="CP16" s="181" t="s">
        <v>29</v>
      </c>
      <c r="CQ16" s="181" t="s">
        <v>29</v>
      </c>
      <c r="CR16" s="181" t="s">
        <v>29</v>
      </c>
      <c r="CS16" s="181" t="s">
        <v>29</v>
      </c>
      <c r="CT16" s="181" t="s">
        <v>29</v>
      </c>
      <c r="CU16" s="181" t="s">
        <v>29</v>
      </c>
      <c r="CV16" s="181" t="s">
        <v>29</v>
      </c>
      <c r="CW16" s="181" t="s">
        <v>29</v>
      </c>
      <c r="CX16" s="181" t="s">
        <v>29</v>
      </c>
      <c r="CY16" s="181" t="s">
        <v>29</v>
      </c>
      <c r="CZ16" s="181" t="s">
        <v>29</v>
      </c>
      <c r="DA16" s="181" t="s">
        <v>29</v>
      </c>
      <c r="DB16" s="181" t="s">
        <v>29</v>
      </c>
      <c r="DC16" s="181" t="s">
        <v>29</v>
      </c>
      <c r="DD16" s="181" t="s">
        <v>29</v>
      </c>
      <c r="DE16" s="181" t="s">
        <v>29</v>
      </c>
      <c r="DF16" s="181" t="s">
        <v>29</v>
      </c>
      <c r="DG16" s="181" t="s">
        <v>29</v>
      </c>
      <c r="DH16" s="181" t="s">
        <v>29</v>
      </c>
      <c r="DI16" s="181" t="s">
        <v>29</v>
      </c>
      <c r="DJ16" s="181" t="s">
        <v>29</v>
      </c>
      <c r="DK16" s="181" t="s">
        <v>29</v>
      </c>
      <c r="DL16" s="181" t="s">
        <v>29</v>
      </c>
      <c r="DM16" s="181" t="s">
        <v>29</v>
      </c>
      <c r="DN16" s="181" t="s">
        <v>29</v>
      </c>
      <c r="DO16" s="181" t="s">
        <v>29</v>
      </c>
      <c r="DP16" s="181" t="s">
        <v>29</v>
      </c>
      <c r="DQ16" s="181" t="s">
        <v>29</v>
      </c>
      <c r="DR16" s="181" t="s">
        <v>29</v>
      </c>
      <c r="DS16" s="181" t="s">
        <v>29</v>
      </c>
      <c r="DT16" s="181" t="s">
        <v>29</v>
      </c>
      <c r="DU16" s="181" t="s">
        <v>29</v>
      </c>
      <c r="DV16" s="181" t="s">
        <v>29</v>
      </c>
      <c r="DW16" s="181" t="s">
        <v>29</v>
      </c>
      <c r="DX16" s="181" t="s">
        <v>29</v>
      </c>
      <c r="DY16" s="181" t="s">
        <v>29</v>
      </c>
      <c r="DZ16" s="181" t="s">
        <v>29</v>
      </c>
      <c r="EA16" s="181" t="s">
        <v>29</v>
      </c>
      <c r="EB16" s="181" t="s">
        <v>29</v>
      </c>
      <c r="EC16" s="181" t="s">
        <v>29</v>
      </c>
      <c r="ED16" s="181" t="s">
        <v>29</v>
      </c>
      <c r="EE16" s="181" t="s">
        <v>29</v>
      </c>
      <c r="EF16" s="181" t="s">
        <v>29</v>
      </c>
      <c r="EG16" s="181" t="s">
        <v>29</v>
      </c>
      <c r="EH16" s="181" t="s">
        <v>29</v>
      </c>
      <c r="EI16" s="181" t="s">
        <v>29</v>
      </c>
      <c r="EJ16" s="181" t="s">
        <v>29</v>
      </c>
      <c r="EK16" s="181" t="s">
        <v>29</v>
      </c>
      <c r="EL16" s="181" t="s">
        <v>29</v>
      </c>
      <c r="EM16" s="181" t="s">
        <v>29</v>
      </c>
      <c r="EN16" s="181" t="s">
        <v>29</v>
      </c>
    </row>
    <row r="17" spans="1:144" ht="15">
      <c r="A17" s="178" t="str">
        <f t="shared" si="0"/>
        <v>MIZPP10926529831A</v>
      </c>
      <c r="B17" s="186" t="s">
        <v>155</v>
      </c>
      <c r="C17" s="187" t="s">
        <v>200</v>
      </c>
      <c r="D17" s="186" t="s">
        <v>420</v>
      </c>
      <c r="E17" s="186">
        <v>26529831</v>
      </c>
      <c r="F17" s="186" t="s">
        <v>434</v>
      </c>
      <c r="H17" s="187"/>
      <c r="L17" s="188"/>
      <c r="M17" s="186" t="s">
        <v>434</v>
      </c>
      <c r="N17" s="187"/>
      <c r="O17" s="188"/>
      <c r="P17" s="187"/>
      <c r="Q17" s="186" t="s">
        <v>448</v>
      </c>
      <c r="S17" s="187"/>
      <c r="T17" s="187"/>
      <c r="Y17" s="186" t="s">
        <v>466</v>
      </c>
      <c r="Z17" s="189">
        <v>67620</v>
      </c>
      <c r="AA17" s="189">
        <v>49350</v>
      </c>
      <c r="AB17" s="182">
        <v>116970</v>
      </c>
      <c r="AC17" s="189">
        <v>17500</v>
      </c>
      <c r="AD17" s="189">
        <v>0</v>
      </c>
      <c r="AE17" s="182">
        <f t="shared" si="1"/>
        <v>17500</v>
      </c>
      <c r="AF17" s="189">
        <v>8400</v>
      </c>
      <c r="AG17" s="185"/>
      <c r="AK17" s="182">
        <f t="shared" si="2"/>
        <v>8400</v>
      </c>
      <c r="AL17" s="185" t="s">
        <v>29</v>
      </c>
      <c r="AM17" s="185" t="s">
        <v>29</v>
      </c>
      <c r="AN17" s="185" t="s">
        <v>29</v>
      </c>
      <c r="AO17" s="186" t="s">
        <v>29</v>
      </c>
      <c r="AP17" s="182">
        <v>0</v>
      </c>
      <c r="AQ17" s="189"/>
      <c r="AR17" s="189"/>
      <c r="AS17" s="189">
        <v>7500</v>
      </c>
      <c r="AT17" s="189">
        <v>14000</v>
      </c>
      <c r="AU17" s="189">
        <v>25200</v>
      </c>
      <c r="AV17" s="189">
        <v>43400</v>
      </c>
      <c r="AW17" s="189"/>
      <c r="AX17" s="189">
        <v>14000</v>
      </c>
      <c r="AY17" s="186" t="s">
        <v>500</v>
      </c>
      <c r="AZ17" s="186">
        <v>50000</v>
      </c>
      <c r="BA17" s="186"/>
      <c r="BB17" s="186"/>
      <c r="BC17" s="186"/>
      <c r="BD17" s="186"/>
      <c r="BE17" s="186"/>
      <c r="BF17" s="186"/>
      <c r="BG17" s="186"/>
      <c r="BH17" s="186"/>
      <c r="BI17" s="186"/>
      <c r="BJ17" s="186"/>
      <c r="BK17" s="186"/>
      <c r="BL17" s="186"/>
      <c r="BM17" s="186"/>
      <c r="BN17" s="186"/>
      <c r="BO17" s="186"/>
      <c r="BP17" s="186"/>
      <c r="BQ17" s="182"/>
      <c r="BR17" s="178">
        <v>0</v>
      </c>
      <c r="BS17" s="190">
        <v>296970</v>
      </c>
      <c r="BT17" s="186">
        <v>187330</v>
      </c>
      <c r="BU17" s="181" t="s">
        <v>644</v>
      </c>
      <c r="BV17" s="181">
        <v>1</v>
      </c>
      <c r="BW17" s="181" t="s">
        <v>94</v>
      </c>
      <c r="BX17" s="181" t="s">
        <v>534</v>
      </c>
      <c r="BY17" s="181" t="s">
        <v>645</v>
      </c>
      <c r="BZ17" s="181">
        <v>2</v>
      </c>
      <c r="CA17" s="181" t="s">
        <v>94</v>
      </c>
      <c r="CB17" s="181" t="s">
        <v>527</v>
      </c>
      <c r="CC17" s="181" t="s">
        <v>646</v>
      </c>
      <c r="CD17" s="181">
        <v>80</v>
      </c>
      <c r="CE17" s="181" t="s">
        <v>352</v>
      </c>
      <c r="CF17" s="181" t="s">
        <v>529</v>
      </c>
      <c r="CG17" s="181" t="s">
        <v>647</v>
      </c>
      <c r="CH17" s="181">
        <v>5</v>
      </c>
      <c r="CI17" s="181" t="s">
        <v>94</v>
      </c>
      <c r="CJ17" s="181" t="s">
        <v>525</v>
      </c>
      <c r="CK17" s="181" t="s">
        <v>97</v>
      </c>
      <c r="CL17" s="181">
        <v>8</v>
      </c>
      <c r="CM17" s="181" t="s">
        <v>94</v>
      </c>
      <c r="CN17" s="181" t="s">
        <v>530</v>
      </c>
      <c r="CO17" s="181" t="s">
        <v>373</v>
      </c>
      <c r="CP17" s="181">
        <v>2000</v>
      </c>
      <c r="CQ17" s="181" t="s">
        <v>531</v>
      </c>
      <c r="CR17" s="181" t="s">
        <v>532</v>
      </c>
      <c r="CS17" s="181" t="s">
        <v>648</v>
      </c>
      <c r="CT17" s="181">
        <v>300</v>
      </c>
      <c r="CU17" s="181" t="s">
        <v>536</v>
      </c>
      <c r="CV17" s="181" t="s">
        <v>537</v>
      </c>
      <c r="CW17" s="181" t="s">
        <v>29</v>
      </c>
      <c r="CX17" s="181" t="s">
        <v>29</v>
      </c>
      <c r="CY17" s="181" t="s">
        <v>29</v>
      </c>
      <c r="CZ17" s="181" t="s">
        <v>29</v>
      </c>
      <c r="DA17" s="181" t="s">
        <v>29</v>
      </c>
      <c r="DB17" s="181" t="s">
        <v>29</v>
      </c>
      <c r="DC17" s="181" t="s">
        <v>29</v>
      </c>
      <c r="DD17" s="181" t="s">
        <v>29</v>
      </c>
      <c r="DE17" s="181" t="s">
        <v>29</v>
      </c>
      <c r="DF17" s="181" t="s">
        <v>29</v>
      </c>
      <c r="DG17" s="181" t="s">
        <v>29</v>
      </c>
      <c r="DH17" s="181" t="s">
        <v>29</v>
      </c>
      <c r="DI17" s="181" t="s">
        <v>29</v>
      </c>
      <c r="DJ17" s="181" t="s">
        <v>29</v>
      </c>
      <c r="DK17" s="181" t="s">
        <v>29</v>
      </c>
      <c r="DL17" s="181" t="s">
        <v>29</v>
      </c>
      <c r="DM17" s="181" t="s">
        <v>29</v>
      </c>
      <c r="DN17" s="181" t="s">
        <v>29</v>
      </c>
      <c r="DO17" s="181" t="s">
        <v>29</v>
      </c>
      <c r="DP17" s="181" t="s">
        <v>29</v>
      </c>
      <c r="DQ17" s="181" t="s">
        <v>29</v>
      </c>
      <c r="DR17" s="181" t="s">
        <v>29</v>
      </c>
      <c r="DS17" s="181" t="s">
        <v>29</v>
      </c>
      <c r="DT17" s="181" t="s">
        <v>29</v>
      </c>
      <c r="DU17" s="181" t="s">
        <v>29</v>
      </c>
      <c r="DV17" s="181" t="s">
        <v>29</v>
      </c>
      <c r="DW17" s="181" t="s">
        <v>29</v>
      </c>
      <c r="DX17" s="181" t="s">
        <v>29</v>
      </c>
      <c r="DY17" s="181" t="s">
        <v>29</v>
      </c>
      <c r="DZ17" s="181" t="s">
        <v>29</v>
      </c>
      <c r="EA17" s="181" t="s">
        <v>29</v>
      </c>
      <c r="EB17" s="181" t="s">
        <v>29</v>
      </c>
      <c r="EC17" s="181" t="s">
        <v>29</v>
      </c>
      <c r="ED17" s="181" t="s">
        <v>29</v>
      </c>
      <c r="EE17" s="181" t="s">
        <v>29</v>
      </c>
      <c r="EF17" s="181" t="s">
        <v>29</v>
      </c>
      <c r="EG17" s="181" t="s">
        <v>29</v>
      </c>
      <c r="EH17" s="181" t="s">
        <v>29</v>
      </c>
      <c r="EI17" s="181" t="s">
        <v>29</v>
      </c>
      <c r="EJ17" s="181" t="s">
        <v>29</v>
      </c>
      <c r="EK17" s="181" t="s">
        <v>29</v>
      </c>
      <c r="EL17" s="181" t="s">
        <v>29</v>
      </c>
      <c r="EM17" s="181" t="s">
        <v>29</v>
      </c>
      <c r="EN17" s="181" t="s">
        <v>29</v>
      </c>
    </row>
    <row r="18" spans="1:144" ht="15">
      <c r="A18" s="178" t="str">
        <f t="shared" si="0"/>
        <v>MIZPP11564933873A</v>
      </c>
      <c r="B18" s="186" t="s">
        <v>407</v>
      </c>
      <c r="C18" s="187" t="s">
        <v>200</v>
      </c>
      <c r="D18" s="186" t="s">
        <v>386</v>
      </c>
      <c r="E18" s="186">
        <v>64933873</v>
      </c>
      <c r="F18" s="186" t="s">
        <v>435</v>
      </c>
      <c r="H18" s="187"/>
      <c r="L18" s="188"/>
      <c r="M18" s="186" t="s">
        <v>435</v>
      </c>
      <c r="N18" s="187"/>
      <c r="O18" s="188"/>
      <c r="P18" s="187"/>
      <c r="Q18" s="186" t="s">
        <v>363</v>
      </c>
      <c r="S18" s="187"/>
      <c r="T18" s="187"/>
      <c r="Y18" s="186" t="s">
        <v>467</v>
      </c>
      <c r="Z18" s="189">
        <v>201000</v>
      </c>
      <c r="AA18" s="189">
        <v>10000</v>
      </c>
      <c r="AB18" s="182">
        <v>211000</v>
      </c>
      <c r="AC18" s="189">
        <v>0</v>
      </c>
      <c r="AD18" s="189">
        <v>0</v>
      </c>
      <c r="AE18" s="182">
        <f t="shared" si="1"/>
        <v>0</v>
      </c>
      <c r="AF18" s="189">
        <v>0</v>
      </c>
      <c r="AG18" s="185"/>
      <c r="AK18" s="182">
        <f t="shared" si="2"/>
        <v>0</v>
      </c>
      <c r="AL18" s="185" t="s">
        <v>29</v>
      </c>
      <c r="AM18" s="185" t="s">
        <v>29</v>
      </c>
      <c r="AN18" s="185" t="s">
        <v>29</v>
      </c>
      <c r="AO18" s="186" t="s">
        <v>29</v>
      </c>
      <c r="AP18" s="182">
        <v>0</v>
      </c>
      <c r="AQ18" s="189"/>
      <c r="AR18" s="189"/>
      <c r="AS18" s="189">
        <v>10000</v>
      </c>
      <c r="AT18" s="189">
        <v>40000</v>
      </c>
      <c r="AU18" s="189"/>
      <c r="AV18" s="189"/>
      <c r="AW18" s="189"/>
      <c r="AX18" s="189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6"/>
      <c r="BL18" s="186"/>
      <c r="BM18" s="186"/>
      <c r="BN18" s="186"/>
      <c r="BO18" s="186"/>
      <c r="BP18" s="186"/>
      <c r="BQ18" s="182"/>
      <c r="BR18" s="178">
        <v>39000</v>
      </c>
      <c r="BS18" s="190">
        <v>300000</v>
      </c>
      <c r="BT18" s="186">
        <v>201000</v>
      </c>
      <c r="BU18" s="181" t="s">
        <v>649</v>
      </c>
      <c r="BV18" s="181">
        <v>1</v>
      </c>
      <c r="BW18" s="181" t="s">
        <v>604</v>
      </c>
      <c r="BX18" s="181" t="s">
        <v>650</v>
      </c>
      <c r="BY18" s="181" t="s">
        <v>651</v>
      </c>
      <c r="BZ18" s="181">
        <v>100</v>
      </c>
      <c r="CA18" s="181" t="s">
        <v>606</v>
      </c>
      <c r="CB18" s="181" t="s">
        <v>652</v>
      </c>
      <c r="CC18" s="181" t="s">
        <v>97</v>
      </c>
      <c r="CD18" s="181">
        <v>100</v>
      </c>
      <c r="CE18" s="181" t="s">
        <v>94</v>
      </c>
      <c r="CF18" s="181" t="s">
        <v>530</v>
      </c>
      <c r="CG18" s="181" t="s">
        <v>373</v>
      </c>
      <c r="CH18" s="181">
        <v>800000</v>
      </c>
      <c r="CI18" s="181" t="s">
        <v>531</v>
      </c>
      <c r="CJ18" s="181" t="s">
        <v>532</v>
      </c>
      <c r="CK18" s="181" t="s">
        <v>653</v>
      </c>
      <c r="CL18" s="181">
        <v>4</v>
      </c>
      <c r="CM18" s="181" t="s">
        <v>94</v>
      </c>
      <c r="CN18" s="181" t="s">
        <v>527</v>
      </c>
      <c r="CO18" s="181" t="s">
        <v>654</v>
      </c>
      <c r="CP18" s="181">
        <v>1200</v>
      </c>
      <c r="CQ18" s="181" t="s">
        <v>352</v>
      </c>
      <c r="CR18" s="181" t="s">
        <v>529</v>
      </c>
      <c r="CS18" s="181" t="s">
        <v>29</v>
      </c>
      <c r="CT18" s="181" t="s">
        <v>29</v>
      </c>
      <c r="CU18" s="181" t="s">
        <v>29</v>
      </c>
      <c r="CV18" s="181" t="s">
        <v>29</v>
      </c>
      <c r="CW18" s="181" t="s">
        <v>29</v>
      </c>
      <c r="CX18" s="181" t="s">
        <v>29</v>
      </c>
      <c r="CY18" s="181" t="s">
        <v>29</v>
      </c>
      <c r="CZ18" s="181" t="s">
        <v>29</v>
      </c>
      <c r="DA18" s="181" t="s">
        <v>29</v>
      </c>
      <c r="DB18" s="181" t="s">
        <v>29</v>
      </c>
      <c r="DC18" s="181" t="s">
        <v>29</v>
      </c>
      <c r="DD18" s="181" t="s">
        <v>29</v>
      </c>
      <c r="DE18" s="181" t="s">
        <v>29</v>
      </c>
      <c r="DF18" s="181" t="s">
        <v>29</v>
      </c>
      <c r="DG18" s="181" t="s">
        <v>29</v>
      </c>
      <c r="DH18" s="181" t="s">
        <v>29</v>
      </c>
      <c r="DI18" s="181" t="s">
        <v>29</v>
      </c>
      <c r="DJ18" s="181" t="s">
        <v>29</v>
      </c>
      <c r="DK18" s="181" t="s">
        <v>29</v>
      </c>
      <c r="DL18" s="181" t="s">
        <v>29</v>
      </c>
      <c r="DM18" s="181" t="s">
        <v>29</v>
      </c>
      <c r="DN18" s="181" t="s">
        <v>29</v>
      </c>
      <c r="DO18" s="181" t="s">
        <v>29</v>
      </c>
      <c r="DP18" s="181" t="s">
        <v>29</v>
      </c>
      <c r="DQ18" s="181" t="s">
        <v>29</v>
      </c>
      <c r="DR18" s="181" t="s">
        <v>29</v>
      </c>
      <c r="DS18" s="181" t="s">
        <v>29</v>
      </c>
      <c r="DT18" s="181" t="s">
        <v>29</v>
      </c>
      <c r="DU18" s="181" t="s">
        <v>29</v>
      </c>
      <c r="DV18" s="181" t="s">
        <v>29</v>
      </c>
      <c r="DW18" s="181" t="s">
        <v>29</v>
      </c>
      <c r="DX18" s="181" t="s">
        <v>29</v>
      </c>
      <c r="DY18" s="181" t="s">
        <v>29</v>
      </c>
      <c r="DZ18" s="181" t="s">
        <v>29</v>
      </c>
      <c r="EA18" s="181" t="s">
        <v>29</v>
      </c>
      <c r="EB18" s="181" t="s">
        <v>29</v>
      </c>
      <c r="EC18" s="181" t="s">
        <v>29</v>
      </c>
      <c r="ED18" s="181" t="s">
        <v>29</v>
      </c>
      <c r="EE18" s="181" t="s">
        <v>29</v>
      </c>
      <c r="EF18" s="181" t="s">
        <v>29</v>
      </c>
      <c r="EG18" s="181" t="s">
        <v>29</v>
      </c>
      <c r="EH18" s="181" t="s">
        <v>29</v>
      </c>
      <c r="EI18" s="181" t="s">
        <v>29</v>
      </c>
      <c r="EJ18" s="181" t="s">
        <v>29</v>
      </c>
      <c r="EK18" s="181" t="s">
        <v>29</v>
      </c>
      <c r="EL18" s="181" t="s">
        <v>29</v>
      </c>
      <c r="EM18" s="181" t="s">
        <v>29</v>
      </c>
      <c r="EN18" s="181" t="s">
        <v>29</v>
      </c>
    </row>
    <row r="19" spans="1:144" ht="15">
      <c r="A19" s="178" t="str">
        <f t="shared" si="0"/>
        <v>MIZPP11965841638A</v>
      </c>
      <c r="B19" s="186" t="s">
        <v>362</v>
      </c>
      <c r="C19" s="187" t="s">
        <v>200</v>
      </c>
      <c r="D19" s="186" t="s">
        <v>385</v>
      </c>
      <c r="E19" s="186">
        <v>65841638</v>
      </c>
      <c r="F19" s="186" t="s">
        <v>436</v>
      </c>
      <c r="H19" s="187"/>
      <c r="L19" s="188"/>
      <c r="M19" s="186" t="s">
        <v>436</v>
      </c>
      <c r="N19" s="187"/>
      <c r="O19" s="188"/>
      <c r="P19" s="187"/>
      <c r="Q19" s="186" t="s">
        <v>211</v>
      </c>
      <c r="S19" s="187"/>
      <c r="T19" s="187"/>
      <c r="Y19" s="186" t="s">
        <v>468</v>
      </c>
      <c r="Z19" s="189">
        <v>260000</v>
      </c>
      <c r="AA19" s="189">
        <v>30000</v>
      </c>
      <c r="AB19" s="182">
        <v>290000</v>
      </c>
      <c r="AC19" s="189">
        <v>0</v>
      </c>
      <c r="AD19" s="189">
        <v>0</v>
      </c>
      <c r="AE19" s="182">
        <f t="shared" si="1"/>
        <v>0</v>
      </c>
      <c r="AF19" s="189">
        <v>0</v>
      </c>
      <c r="AG19" s="185"/>
      <c r="AK19" s="182">
        <f t="shared" si="2"/>
        <v>0</v>
      </c>
      <c r="AL19" s="178" t="s">
        <v>476</v>
      </c>
      <c r="AM19" s="178">
        <v>3500</v>
      </c>
      <c r="AN19" s="185" t="s">
        <v>29</v>
      </c>
      <c r="AO19" s="186" t="s">
        <v>29</v>
      </c>
      <c r="AP19" s="182">
        <v>3500</v>
      </c>
      <c r="AQ19" s="189"/>
      <c r="AR19" s="189"/>
      <c r="AS19" s="189"/>
      <c r="AT19" s="189"/>
      <c r="AU19" s="189"/>
      <c r="AV19" s="189">
        <v>6500</v>
      </c>
      <c r="AW19" s="189"/>
      <c r="AX19" s="189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  <c r="BJ19" s="186"/>
      <c r="BK19" s="186"/>
      <c r="BL19" s="186"/>
      <c r="BM19" s="186"/>
      <c r="BN19" s="186"/>
      <c r="BO19" s="186"/>
      <c r="BP19" s="186"/>
      <c r="BQ19" s="182"/>
      <c r="BR19" s="178">
        <v>0</v>
      </c>
      <c r="BS19" s="190">
        <v>300000</v>
      </c>
      <c r="BT19" s="186">
        <v>129965</v>
      </c>
      <c r="BU19" s="181" t="s">
        <v>655</v>
      </c>
      <c r="BV19" s="181">
        <v>2</v>
      </c>
      <c r="BW19" s="181" t="s">
        <v>94</v>
      </c>
      <c r="BX19" s="181" t="s">
        <v>527</v>
      </c>
      <c r="BY19" s="181" t="s">
        <v>656</v>
      </c>
      <c r="BZ19" s="181">
        <v>10</v>
      </c>
      <c r="CA19" s="181" t="s">
        <v>352</v>
      </c>
      <c r="CB19" s="181" t="s">
        <v>529</v>
      </c>
      <c r="CC19" s="181" t="s">
        <v>657</v>
      </c>
      <c r="CD19" s="181">
        <v>1</v>
      </c>
      <c r="CE19" s="181" t="s">
        <v>604</v>
      </c>
      <c r="CF19" s="181" t="s">
        <v>650</v>
      </c>
      <c r="CG19" s="181" t="s">
        <v>658</v>
      </c>
      <c r="CH19" s="181">
        <v>11</v>
      </c>
      <c r="CI19" s="181" t="s">
        <v>606</v>
      </c>
      <c r="CJ19" s="181" t="s">
        <v>652</v>
      </c>
      <c r="CK19" s="181" t="s">
        <v>659</v>
      </c>
      <c r="CL19" s="181">
        <v>1</v>
      </c>
      <c r="CM19" s="181" t="s">
        <v>94</v>
      </c>
      <c r="CN19" s="181" t="s">
        <v>534</v>
      </c>
      <c r="CO19" s="181" t="s">
        <v>660</v>
      </c>
      <c r="CP19" s="181">
        <v>50</v>
      </c>
      <c r="CQ19" s="181" t="s">
        <v>536</v>
      </c>
      <c r="CR19" s="181" t="s">
        <v>537</v>
      </c>
      <c r="CS19" s="181" t="s">
        <v>29</v>
      </c>
      <c r="CT19" s="181" t="s">
        <v>29</v>
      </c>
      <c r="CU19" s="181" t="s">
        <v>29</v>
      </c>
      <c r="CV19" s="181" t="s">
        <v>29</v>
      </c>
      <c r="CW19" s="181" t="s">
        <v>29</v>
      </c>
      <c r="CX19" s="181" t="s">
        <v>29</v>
      </c>
      <c r="CY19" s="181" t="s">
        <v>29</v>
      </c>
      <c r="CZ19" s="181" t="s">
        <v>29</v>
      </c>
      <c r="DA19" s="181" t="s">
        <v>29</v>
      </c>
      <c r="DB19" s="181" t="s">
        <v>29</v>
      </c>
      <c r="DC19" s="181" t="s">
        <v>29</v>
      </c>
      <c r="DD19" s="181" t="s">
        <v>29</v>
      </c>
      <c r="DE19" s="181" t="s">
        <v>29</v>
      </c>
      <c r="DF19" s="181" t="s">
        <v>29</v>
      </c>
      <c r="DG19" s="181" t="s">
        <v>29</v>
      </c>
      <c r="DH19" s="181" t="s">
        <v>29</v>
      </c>
      <c r="DI19" s="181" t="s">
        <v>29</v>
      </c>
      <c r="DJ19" s="181" t="s">
        <v>29</v>
      </c>
      <c r="DK19" s="181" t="s">
        <v>29</v>
      </c>
      <c r="DL19" s="181" t="s">
        <v>29</v>
      </c>
      <c r="DM19" s="181" t="s">
        <v>29</v>
      </c>
      <c r="DN19" s="181" t="s">
        <v>29</v>
      </c>
      <c r="DO19" s="181" t="s">
        <v>29</v>
      </c>
      <c r="DP19" s="181" t="s">
        <v>29</v>
      </c>
      <c r="DQ19" s="181" t="s">
        <v>29</v>
      </c>
      <c r="DR19" s="181" t="s">
        <v>29</v>
      </c>
      <c r="DS19" s="181" t="s">
        <v>29</v>
      </c>
      <c r="DT19" s="181" t="s">
        <v>29</v>
      </c>
      <c r="DU19" s="181" t="s">
        <v>29</v>
      </c>
      <c r="DV19" s="181" t="s">
        <v>29</v>
      </c>
      <c r="DW19" s="181" t="s">
        <v>29</v>
      </c>
      <c r="DX19" s="181" t="s">
        <v>29</v>
      </c>
      <c r="DY19" s="181" t="s">
        <v>29</v>
      </c>
      <c r="DZ19" s="181" t="s">
        <v>29</v>
      </c>
      <c r="EA19" s="181" t="s">
        <v>29</v>
      </c>
      <c r="EB19" s="181" t="s">
        <v>29</v>
      </c>
      <c r="EC19" s="181" t="s">
        <v>29</v>
      </c>
      <c r="ED19" s="181" t="s">
        <v>29</v>
      </c>
      <c r="EE19" s="181" t="s">
        <v>29</v>
      </c>
      <c r="EF19" s="181" t="s">
        <v>29</v>
      </c>
      <c r="EG19" s="181" t="s">
        <v>29</v>
      </c>
      <c r="EH19" s="181" t="s">
        <v>29</v>
      </c>
      <c r="EI19" s="181" t="s">
        <v>29</v>
      </c>
      <c r="EJ19" s="181" t="s">
        <v>29</v>
      </c>
      <c r="EK19" s="181" t="s">
        <v>29</v>
      </c>
      <c r="EL19" s="181" t="s">
        <v>29</v>
      </c>
      <c r="EM19" s="181" t="s">
        <v>29</v>
      </c>
      <c r="EN19" s="181" t="s">
        <v>29</v>
      </c>
    </row>
    <row r="20" spans="1:144" ht="15">
      <c r="A20" s="178" t="str">
        <f t="shared" si="0"/>
        <v>MIZPP12722730885A</v>
      </c>
      <c r="B20" s="186" t="s">
        <v>408</v>
      </c>
      <c r="C20" s="187" t="s">
        <v>200</v>
      </c>
      <c r="D20" s="186" t="s">
        <v>421</v>
      </c>
      <c r="E20" s="186">
        <v>22730885</v>
      </c>
      <c r="F20" s="186" t="s">
        <v>437</v>
      </c>
      <c r="H20" s="187"/>
      <c r="L20" s="188"/>
      <c r="M20" s="186" t="s">
        <v>437</v>
      </c>
      <c r="N20" s="187"/>
      <c r="O20" s="188"/>
      <c r="P20" s="187"/>
      <c r="Q20" s="186" t="s">
        <v>449</v>
      </c>
      <c r="S20" s="187"/>
      <c r="T20" s="187"/>
      <c r="Y20" s="186" t="s">
        <v>469</v>
      </c>
      <c r="Z20" s="189">
        <v>0</v>
      </c>
      <c r="AA20" s="189">
        <v>115000</v>
      </c>
      <c r="AB20" s="182">
        <v>115000</v>
      </c>
      <c r="AC20" s="189">
        <v>0</v>
      </c>
      <c r="AD20" s="189">
        <v>0</v>
      </c>
      <c r="AE20" s="182">
        <f t="shared" si="1"/>
        <v>0</v>
      </c>
      <c r="AF20" s="189">
        <v>0</v>
      </c>
      <c r="AG20" s="185"/>
      <c r="AK20" s="182">
        <f t="shared" si="2"/>
        <v>0</v>
      </c>
      <c r="AL20" s="185" t="s">
        <v>29</v>
      </c>
      <c r="AM20" s="185" t="s">
        <v>29</v>
      </c>
      <c r="AN20" s="185" t="s">
        <v>29</v>
      </c>
      <c r="AO20" s="186" t="s">
        <v>29</v>
      </c>
      <c r="AP20" s="182">
        <v>0</v>
      </c>
      <c r="AQ20" s="189"/>
      <c r="AR20" s="189">
        <v>10000</v>
      </c>
      <c r="AS20" s="189">
        <v>20000</v>
      </c>
      <c r="AT20" s="189"/>
      <c r="AU20" s="189"/>
      <c r="AV20" s="189"/>
      <c r="AW20" s="189"/>
      <c r="AX20" s="189"/>
      <c r="AY20" s="186" t="s">
        <v>501</v>
      </c>
      <c r="AZ20" s="186">
        <v>100000</v>
      </c>
      <c r="BA20" s="186" t="s">
        <v>502</v>
      </c>
      <c r="BB20" s="186">
        <v>25000</v>
      </c>
      <c r="BC20" s="186" t="s">
        <v>503</v>
      </c>
      <c r="BD20" s="186">
        <v>20000</v>
      </c>
      <c r="BE20" s="186" t="s">
        <v>504</v>
      </c>
      <c r="BF20" s="186">
        <v>10000</v>
      </c>
      <c r="BG20" s="186"/>
      <c r="BH20" s="186"/>
      <c r="BI20" s="186"/>
      <c r="BJ20" s="186"/>
      <c r="BK20" s="186"/>
      <c r="BL20" s="186"/>
      <c r="BM20" s="186"/>
      <c r="BN20" s="186"/>
      <c r="BO20" s="186"/>
      <c r="BP20" s="186"/>
      <c r="BQ20" s="182"/>
      <c r="BR20" s="178">
        <v>0</v>
      </c>
      <c r="BS20" s="190">
        <v>300000</v>
      </c>
      <c r="BT20" s="186">
        <v>310000</v>
      </c>
      <c r="BU20" s="181" t="s">
        <v>661</v>
      </c>
      <c r="BV20" s="181">
        <v>1</v>
      </c>
      <c r="BW20" s="181" t="s">
        <v>94</v>
      </c>
      <c r="BX20" s="181" t="s">
        <v>527</v>
      </c>
      <c r="BY20" s="181" t="s">
        <v>662</v>
      </c>
      <c r="BZ20" s="181">
        <v>2660</v>
      </c>
      <c r="CA20" s="181" t="s">
        <v>352</v>
      </c>
      <c r="CB20" s="181" t="s">
        <v>529</v>
      </c>
      <c r="CC20" s="181" t="s">
        <v>97</v>
      </c>
      <c r="CD20" s="181">
        <v>150</v>
      </c>
      <c r="CE20" s="181" t="s">
        <v>94</v>
      </c>
      <c r="CF20" s="181" t="s">
        <v>530</v>
      </c>
      <c r="CG20" s="181" t="s">
        <v>373</v>
      </c>
      <c r="CH20" s="181">
        <v>3000000</v>
      </c>
      <c r="CI20" s="181" t="s">
        <v>531</v>
      </c>
      <c r="CJ20" s="181" t="s">
        <v>532</v>
      </c>
      <c r="CK20" s="181" t="s">
        <v>587</v>
      </c>
      <c r="CL20" s="181">
        <v>15</v>
      </c>
      <c r="CM20" s="181" t="s">
        <v>94</v>
      </c>
      <c r="CN20" s="181" t="s">
        <v>534</v>
      </c>
      <c r="CO20" s="181" t="s">
        <v>663</v>
      </c>
      <c r="CP20" s="181">
        <v>30000</v>
      </c>
      <c r="CQ20" s="181" t="s">
        <v>531</v>
      </c>
      <c r="CR20" s="181" t="s">
        <v>537</v>
      </c>
      <c r="CS20" s="181" t="s">
        <v>664</v>
      </c>
      <c r="CT20" s="181">
        <v>12</v>
      </c>
      <c r="CU20" s="181" t="s">
        <v>94</v>
      </c>
      <c r="CV20" s="181" t="s">
        <v>534</v>
      </c>
      <c r="CW20" s="181" t="s">
        <v>665</v>
      </c>
      <c r="CX20" s="181">
        <v>50000</v>
      </c>
      <c r="CY20" s="181" t="s">
        <v>536</v>
      </c>
      <c r="CZ20" s="181" t="s">
        <v>537</v>
      </c>
      <c r="DA20" s="181" t="s">
        <v>666</v>
      </c>
      <c r="DB20" s="181">
        <v>20</v>
      </c>
      <c r="DC20" s="181" t="s">
        <v>134</v>
      </c>
      <c r="DD20" s="181" t="s">
        <v>538</v>
      </c>
      <c r="DE20" s="181" t="s">
        <v>539</v>
      </c>
      <c r="DF20" s="181">
        <v>250</v>
      </c>
      <c r="DG20" s="181" t="s">
        <v>369</v>
      </c>
      <c r="DH20" s="181" t="s">
        <v>540</v>
      </c>
      <c r="DI20" s="181" t="s">
        <v>29</v>
      </c>
      <c r="DJ20" s="181" t="s">
        <v>29</v>
      </c>
      <c r="DK20" s="181" t="s">
        <v>29</v>
      </c>
      <c r="DL20" s="181" t="s">
        <v>29</v>
      </c>
      <c r="DM20" s="181" t="s">
        <v>29</v>
      </c>
      <c r="DN20" s="181" t="s">
        <v>29</v>
      </c>
      <c r="DO20" s="181" t="s">
        <v>29</v>
      </c>
      <c r="DP20" s="181" t="s">
        <v>29</v>
      </c>
      <c r="DQ20" s="181" t="s">
        <v>29</v>
      </c>
      <c r="DR20" s="181" t="s">
        <v>29</v>
      </c>
      <c r="DS20" s="181" t="s">
        <v>29</v>
      </c>
      <c r="DT20" s="181" t="s">
        <v>29</v>
      </c>
      <c r="DU20" s="181" t="s">
        <v>29</v>
      </c>
      <c r="DV20" s="181" t="s">
        <v>29</v>
      </c>
      <c r="DW20" s="181" t="s">
        <v>29</v>
      </c>
      <c r="DX20" s="181" t="s">
        <v>29</v>
      </c>
      <c r="DY20" s="181" t="s">
        <v>29</v>
      </c>
      <c r="DZ20" s="181" t="s">
        <v>29</v>
      </c>
      <c r="EA20" s="181" t="s">
        <v>29</v>
      </c>
      <c r="EB20" s="181" t="s">
        <v>29</v>
      </c>
      <c r="EC20" s="181" t="s">
        <v>29</v>
      </c>
      <c r="ED20" s="181" t="s">
        <v>29</v>
      </c>
      <c r="EE20" s="181" t="s">
        <v>29</v>
      </c>
      <c r="EF20" s="181" t="s">
        <v>29</v>
      </c>
      <c r="EG20" s="181" t="s">
        <v>29</v>
      </c>
      <c r="EH20" s="181" t="s">
        <v>29</v>
      </c>
      <c r="EI20" s="181" t="s">
        <v>29</v>
      </c>
      <c r="EJ20" s="181" t="s">
        <v>29</v>
      </c>
      <c r="EK20" s="181" t="s">
        <v>29</v>
      </c>
      <c r="EL20" s="181" t="s">
        <v>29</v>
      </c>
      <c r="EM20" s="181" t="s">
        <v>29</v>
      </c>
      <c r="EN20" s="181" t="s">
        <v>29</v>
      </c>
    </row>
    <row r="21" spans="1:144" ht="15">
      <c r="A21" s="178" t="str">
        <f t="shared" si="0"/>
        <v>MIZPP13519577281A</v>
      </c>
      <c r="B21" s="186" t="s">
        <v>409</v>
      </c>
      <c r="C21" s="187" t="s">
        <v>200</v>
      </c>
      <c r="D21" s="186" t="s">
        <v>422</v>
      </c>
      <c r="E21" s="186">
        <v>19577281</v>
      </c>
      <c r="F21" s="186" t="s">
        <v>438</v>
      </c>
      <c r="H21" s="187"/>
      <c r="L21" s="188"/>
      <c r="M21" s="186" t="s">
        <v>438</v>
      </c>
      <c r="N21" s="187"/>
      <c r="O21" s="188"/>
      <c r="P21" s="187"/>
      <c r="Q21" s="186" t="s">
        <v>450</v>
      </c>
      <c r="S21" s="187"/>
      <c r="T21" s="187"/>
      <c r="Y21" s="186" t="s">
        <v>470</v>
      </c>
      <c r="Z21" s="189">
        <v>0</v>
      </c>
      <c r="AA21" s="189">
        <v>89000</v>
      </c>
      <c r="AB21" s="182">
        <v>89000</v>
      </c>
      <c r="AC21" s="189">
        <v>0</v>
      </c>
      <c r="AD21" s="189">
        <v>0</v>
      </c>
      <c r="AE21" s="182">
        <f t="shared" si="1"/>
        <v>0</v>
      </c>
      <c r="AF21" s="189">
        <v>0</v>
      </c>
      <c r="AG21" s="185"/>
      <c r="AK21" s="182">
        <f t="shared" si="2"/>
        <v>0</v>
      </c>
      <c r="AL21" s="185" t="s">
        <v>29</v>
      </c>
      <c r="AM21" s="185" t="s">
        <v>29</v>
      </c>
      <c r="AN21" s="185" t="s">
        <v>29</v>
      </c>
      <c r="AO21" s="186" t="s">
        <v>29</v>
      </c>
      <c r="AP21" s="182">
        <v>0</v>
      </c>
      <c r="AQ21" s="189">
        <v>17000</v>
      </c>
      <c r="AR21" s="189"/>
      <c r="AS21" s="189">
        <v>17000</v>
      </c>
      <c r="AT21" s="189">
        <v>17600</v>
      </c>
      <c r="AU21" s="189"/>
      <c r="AV21" s="189"/>
      <c r="AW21" s="189"/>
      <c r="AX21" s="189"/>
      <c r="AY21" s="186" t="s">
        <v>505</v>
      </c>
      <c r="AZ21" s="186">
        <v>48000</v>
      </c>
      <c r="BA21" s="186" t="s">
        <v>506</v>
      </c>
      <c r="BB21" s="186">
        <v>23000</v>
      </c>
      <c r="BC21" s="186" t="s">
        <v>507</v>
      </c>
      <c r="BD21" s="186">
        <v>35000</v>
      </c>
      <c r="BE21" s="186" t="s">
        <v>508</v>
      </c>
      <c r="BF21" s="186">
        <v>25000</v>
      </c>
      <c r="BG21" s="186" t="s">
        <v>509</v>
      </c>
      <c r="BH21" s="186">
        <v>1000</v>
      </c>
      <c r="BI21" s="186" t="s">
        <v>510</v>
      </c>
      <c r="BJ21" s="186">
        <v>9900</v>
      </c>
      <c r="BK21" s="186"/>
      <c r="BL21" s="186"/>
      <c r="BM21" s="186"/>
      <c r="BN21" s="186"/>
      <c r="BO21" s="186"/>
      <c r="BP21" s="186"/>
      <c r="BQ21" s="182"/>
      <c r="BR21" s="178">
        <v>17500</v>
      </c>
      <c r="BS21" s="190">
        <v>300000</v>
      </c>
      <c r="BT21" s="186">
        <v>129100</v>
      </c>
      <c r="BU21" s="181" t="s">
        <v>667</v>
      </c>
      <c r="BV21" s="181">
        <v>100</v>
      </c>
      <c r="BW21" s="181" t="s">
        <v>94</v>
      </c>
      <c r="BX21" s="181" t="s">
        <v>527</v>
      </c>
      <c r="BY21" s="181" t="s">
        <v>668</v>
      </c>
      <c r="BZ21" s="181">
        <v>10000</v>
      </c>
      <c r="CA21" s="181" t="s">
        <v>352</v>
      </c>
      <c r="CB21" s="181" t="s">
        <v>529</v>
      </c>
      <c r="CC21" s="181" t="s">
        <v>669</v>
      </c>
      <c r="CD21" s="181">
        <v>1</v>
      </c>
      <c r="CE21" s="181" t="s">
        <v>94</v>
      </c>
      <c r="CF21" s="181" t="s">
        <v>527</v>
      </c>
      <c r="CG21" s="181" t="s">
        <v>670</v>
      </c>
      <c r="CH21" s="181">
        <v>20</v>
      </c>
      <c r="CI21" s="181" t="s">
        <v>352</v>
      </c>
      <c r="CJ21" s="181" t="s">
        <v>529</v>
      </c>
      <c r="CK21" s="181" t="s">
        <v>671</v>
      </c>
      <c r="CL21" s="181">
        <v>1</v>
      </c>
      <c r="CM21" s="181" t="s">
        <v>94</v>
      </c>
      <c r="CN21" s="181" t="s">
        <v>534</v>
      </c>
      <c r="CO21" s="181" t="s">
        <v>672</v>
      </c>
      <c r="CP21" s="181">
        <v>100</v>
      </c>
      <c r="CQ21" s="181" t="s">
        <v>536</v>
      </c>
      <c r="CR21" s="181" t="s">
        <v>537</v>
      </c>
      <c r="CS21" s="181" t="s">
        <v>673</v>
      </c>
      <c r="CT21" s="181">
        <v>7</v>
      </c>
      <c r="CU21" s="181" t="s">
        <v>94</v>
      </c>
      <c r="CV21" s="181" t="s">
        <v>534</v>
      </c>
      <c r="CW21" s="181" t="s">
        <v>674</v>
      </c>
      <c r="CX21" s="181">
        <v>2000</v>
      </c>
      <c r="CY21" s="181" t="s">
        <v>536</v>
      </c>
      <c r="CZ21" s="181" t="s">
        <v>537</v>
      </c>
      <c r="DA21" s="181" t="s">
        <v>97</v>
      </c>
      <c r="DB21" s="181">
        <v>100</v>
      </c>
      <c r="DC21" s="181" t="s">
        <v>94</v>
      </c>
      <c r="DD21" s="181" t="s">
        <v>530</v>
      </c>
      <c r="DE21" s="181" t="s">
        <v>373</v>
      </c>
      <c r="DF21" s="181">
        <v>40000</v>
      </c>
      <c r="DG21" s="181" t="s">
        <v>531</v>
      </c>
      <c r="DH21" s="181" t="s">
        <v>532</v>
      </c>
      <c r="DI21" s="181" t="s">
        <v>29</v>
      </c>
      <c r="DJ21" s="181" t="s">
        <v>29</v>
      </c>
      <c r="DK21" s="181" t="s">
        <v>29</v>
      </c>
      <c r="DL21" s="181" t="s">
        <v>29</v>
      </c>
      <c r="DM21" s="181" t="s">
        <v>29</v>
      </c>
      <c r="DN21" s="181" t="s">
        <v>29</v>
      </c>
      <c r="DO21" s="181" t="s">
        <v>29</v>
      </c>
      <c r="DP21" s="181" t="s">
        <v>29</v>
      </c>
      <c r="DQ21" s="181" t="s">
        <v>29</v>
      </c>
      <c r="DR21" s="181" t="s">
        <v>29</v>
      </c>
      <c r="DS21" s="181" t="s">
        <v>29</v>
      </c>
      <c r="DT21" s="181" t="s">
        <v>29</v>
      </c>
      <c r="DU21" s="181" t="s">
        <v>29</v>
      </c>
      <c r="DV21" s="181" t="s">
        <v>29</v>
      </c>
      <c r="DW21" s="181" t="s">
        <v>29</v>
      </c>
      <c r="DX21" s="181" t="s">
        <v>29</v>
      </c>
      <c r="DY21" s="181" t="s">
        <v>29</v>
      </c>
      <c r="DZ21" s="181" t="s">
        <v>29</v>
      </c>
      <c r="EA21" s="181" t="s">
        <v>29</v>
      </c>
      <c r="EB21" s="181" t="s">
        <v>29</v>
      </c>
      <c r="EC21" s="181" t="s">
        <v>29</v>
      </c>
      <c r="ED21" s="181" t="s">
        <v>29</v>
      </c>
      <c r="EE21" s="181" t="s">
        <v>29</v>
      </c>
      <c r="EF21" s="181" t="s">
        <v>29</v>
      </c>
      <c r="EG21" s="181" t="s">
        <v>29</v>
      </c>
      <c r="EH21" s="181" t="s">
        <v>29</v>
      </c>
      <c r="EI21" s="181" t="s">
        <v>29</v>
      </c>
      <c r="EJ21" s="181" t="s">
        <v>29</v>
      </c>
      <c r="EK21" s="181" t="s">
        <v>29</v>
      </c>
      <c r="EL21" s="181" t="s">
        <v>29</v>
      </c>
      <c r="EM21" s="181" t="s">
        <v>29</v>
      </c>
      <c r="EN21" s="181" t="s">
        <v>29</v>
      </c>
    </row>
    <row r="22" spans="1:144" ht="15">
      <c r="A22" s="178" t="str">
        <f t="shared" si="0"/>
        <v>MIZPP14113693620A</v>
      </c>
      <c r="B22" s="186" t="s">
        <v>410</v>
      </c>
      <c r="C22" s="187" t="s">
        <v>200</v>
      </c>
      <c r="D22" s="186" t="s">
        <v>205</v>
      </c>
      <c r="E22" s="186">
        <v>13693620</v>
      </c>
      <c r="F22" s="186" t="s">
        <v>439</v>
      </c>
      <c r="H22" s="187"/>
      <c r="L22" s="188"/>
      <c r="M22" s="186" t="s">
        <v>439</v>
      </c>
      <c r="N22" s="187"/>
      <c r="O22" s="188"/>
      <c r="P22" s="187"/>
      <c r="Q22" s="186" t="s">
        <v>212</v>
      </c>
      <c r="S22" s="187"/>
      <c r="T22" s="187"/>
      <c r="Y22" s="186" t="s">
        <v>471</v>
      </c>
      <c r="Z22" s="189">
        <v>257500</v>
      </c>
      <c r="AA22" s="189">
        <v>24000</v>
      </c>
      <c r="AB22" s="182">
        <v>281500</v>
      </c>
      <c r="AC22" s="189">
        <v>2500</v>
      </c>
      <c r="AD22" s="189">
        <v>0</v>
      </c>
      <c r="AE22" s="182">
        <f t="shared" si="1"/>
        <v>2500</v>
      </c>
      <c r="AF22" s="189">
        <v>5000</v>
      </c>
      <c r="AG22" s="185"/>
      <c r="AK22" s="182">
        <f t="shared" si="2"/>
        <v>5000</v>
      </c>
      <c r="AL22" s="192" t="s">
        <v>29</v>
      </c>
      <c r="AM22" s="192" t="s">
        <v>29</v>
      </c>
      <c r="AN22" s="192" t="s">
        <v>29</v>
      </c>
      <c r="AO22" s="186" t="s">
        <v>29</v>
      </c>
      <c r="AP22" s="182">
        <v>0</v>
      </c>
      <c r="AQ22" s="189"/>
      <c r="AR22" s="189">
        <v>6000</v>
      </c>
      <c r="AS22" s="189"/>
      <c r="AT22" s="189">
        <v>5000</v>
      </c>
      <c r="AU22" s="189"/>
      <c r="AV22" s="189"/>
      <c r="AW22" s="189"/>
      <c r="AX22" s="189"/>
      <c r="AY22" s="186" t="s">
        <v>364</v>
      </c>
      <c r="AZ22" s="186">
        <v>0</v>
      </c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2"/>
      <c r="BR22" s="178">
        <v>0</v>
      </c>
      <c r="BS22" s="190">
        <v>300000</v>
      </c>
      <c r="BT22" s="186">
        <v>184350</v>
      </c>
      <c r="BU22" s="181" t="s">
        <v>675</v>
      </c>
      <c r="BV22" s="181">
        <v>1</v>
      </c>
      <c r="BW22" s="181" t="s">
        <v>94</v>
      </c>
      <c r="BX22" s="181" t="s">
        <v>527</v>
      </c>
      <c r="BY22" s="181" t="s">
        <v>676</v>
      </c>
      <c r="BZ22" s="181">
        <v>10</v>
      </c>
      <c r="CA22" s="181" t="s">
        <v>352</v>
      </c>
      <c r="CB22" s="181" t="s">
        <v>529</v>
      </c>
      <c r="CC22" s="181" t="s">
        <v>677</v>
      </c>
      <c r="CD22" s="181">
        <v>2</v>
      </c>
      <c r="CE22" s="181" t="s">
        <v>604</v>
      </c>
      <c r="CF22" s="181" t="s">
        <v>650</v>
      </c>
      <c r="CG22" s="181" t="s">
        <v>678</v>
      </c>
      <c r="CH22" s="181">
        <v>40</v>
      </c>
      <c r="CI22" s="181" t="s">
        <v>606</v>
      </c>
      <c r="CJ22" s="181" t="s">
        <v>652</v>
      </c>
      <c r="CK22" s="181" t="s">
        <v>679</v>
      </c>
      <c r="CL22" s="181">
        <v>1</v>
      </c>
      <c r="CM22" s="181" t="s">
        <v>94</v>
      </c>
      <c r="CN22" s="181" t="s">
        <v>534</v>
      </c>
      <c r="CO22" s="181" t="s">
        <v>680</v>
      </c>
      <c r="CP22" s="181">
        <v>100</v>
      </c>
      <c r="CQ22" s="181" t="s">
        <v>536</v>
      </c>
      <c r="CR22" s="181" t="s">
        <v>537</v>
      </c>
      <c r="CS22" s="181" t="s">
        <v>150</v>
      </c>
      <c r="CT22" s="181">
        <v>1</v>
      </c>
      <c r="CU22" s="181" t="s">
        <v>94</v>
      </c>
      <c r="CV22" s="181" t="s">
        <v>527</v>
      </c>
      <c r="CW22" s="181" t="s">
        <v>681</v>
      </c>
      <c r="CX22" s="181">
        <v>30</v>
      </c>
      <c r="CY22" s="181" t="s">
        <v>352</v>
      </c>
      <c r="CZ22" s="181" t="s">
        <v>529</v>
      </c>
      <c r="DA22" s="181" t="s">
        <v>29</v>
      </c>
      <c r="DB22" s="181" t="s">
        <v>29</v>
      </c>
      <c r="DC22" s="181" t="s">
        <v>29</v>
      </c>
      <c r="DD22" s="181" t="s">
        <v>29</v>
      </c>
      <c r="DE22" s="181" t="s">
        <v>29</v>
      </c>
      <c r="DF22" s="181" t="s">
        <v>29</v>
      </c>
      <c r="DG22" s="181" t="s">
        <v>29</v>
      </c>
      <c r="DH22" s="181" t="s">
        <v>29</v>
      </c>
      <c r="DI22" s="181" t="s">
        <v>29</v>
      </c>
      <c r="DJ22" s="181" t="s">
        <v>29</v>
      </c>
      <c r="DK22" s="181" t="s">
        <v>29</v>
      </c>
      <c r="DL22" s="181" t="s">
        <v>29</v>
      </c>
      <c r="DM22" s="181" t="s">
        <v>29</v>
      </c>
      <c r="DN22" s="181" t="s">
        <v>29</v>
      </c>
      <c r="DO22" s="181" t="s">
        <v>29</v>
      </c>
      <c r="DP22" s="181" t="s">
        <v>29</v>
      </c>
      <c r="DQ22" s="181" t="s">
        <v>29</v>
      </c>
      <c r="DR22" s="181" t="s">
        <v>29</v>
      </c>
      <c r="DS22" s="181" t="s">
        <v>29</v>
      </c>
      <c r="DT22" s="181" t="s">
        <v>29</v>
      </c>
      <c r="DU22" s="181" t="s">
        <v>29</v>
      </c>
      <c r="DV22" s="181" t="s">
        <v>29</v>
      </c>
      <c r="DW22" s="181" t="s">
        <v>29</v>
      </c>
      <c r="DX22" s="181" t="s">
        <v>29</v>
      </c>
      <c r="DY22" s="181" t="s">
        <v>29</v>
      </c>
      <c r="DZ22" s="181" t="s">
        <v>29</v>
      </c>
      <c r="EA22" s="181" t="s">
        <v>29</v>
      </c>
      <c r="EB22" s="181" t="s">
        <v>29</v>
      </c>
      <c r="EC22" s="181" t="s">
        <v>29</v>
      </c>
      <c r="ED22" s="181" t="s">
        <v>29</v>
      </c>
      <c r="EE22" s="181" t="s">
        <v>29</v>
      </c>
      <c r="EF22" s="181" t="s">
        <v>29</v>
      </c>
      <c r="EG22" s="181" t="s">
        <v>29</v>
      </c>
      <c r="EH22" s="181" t="s">
        <v>29</v>
      </c>
      <c r="EI22" s="181" t="s">
        <v>29</v>
      </c>
      <c r="EJ22" s="181" t="s">
        <v>29</v>
      </c>
      <c r="EK22" s="181" t="s">
        <v>29</v>
      </c>
      <c r="EL22" s="181" t="s">
        <v>29</v>
      </c>
      <c r="EM22" s="181" t="s">
        <v>29</v>
      </c>
      <c r="EN22" s="181" t="s">
        <v>29</v>
      </c>
    </row>
    <row r="23" spans="1:144" ht="15">
      <c r="A23" s="178" t="str">
        <f t="shared" si="0"/>
        <v>MIZPP20100103764B</v>
      </c>
      <c r="B23" s="186" t="s">
        <v>411</v>
      </c>
      <c r="C23" s="187" t="s">
        <v>203</v>
      </c>
      <c r="D23" s="186" t="s">
        <v>382</v>
      </c>
      <c r="E23" s="192" t="s">
        <v>705</v>
      </c>
      <c r="F23" s="186" t="s">
        <v>433</v>
      </c>
      <c r="H23" s="187"/>
      <c r="L23" s="188"/>
      <c r="M23" s="186" t="s">
        <v>433</v>
      </c>
      <c r="N23" s="187"/>
      <c r="O23" s="188"/>
      <c r="P23" s="187"/>
      <c r="Q23" s="186" t="s">
        <v>208</v>
      </c>
      <c r="S23" s="187"/>
      <c r="T23" s="187"/>
      <c r="Y23" s="186" t="s">
        <v>472</v>
      </c>
      <c r="Z23" s="189">
        <v>200000</v>
      </c>
      <c r="AA23" s="189">
        <v>0</v>
      </c>
      <c r="AB23" s="182">
        <v>200000</v>
      </c>
      <c r="AC23" s="189">
        <v>8000</v>
      </c>
      <c r="AD23" s="189">
        <v>0</v>
      </c>
      <c r="AE23" s="182">
        <f t="shared" si="1"/>
        <v>8000</v>
      </c>
      <c r="AF23" s="189">
        <v>3000</v>
      </c>
      <c r="AG23" s="185"/>
      <c r="AK23" s="182">
        <f t="shared" si="2"/>
        <v>3000</v>
      </c>
      <c r="AL23" s="185" t="s">
        <v>29</v>
      </c>
      <c r="AM23" s="185" t="s">
        <v>29</v>
      </c>
      <c r="AN23" s="185" t="s">
        <v>29</v>
      </c>
      <c r="AO23" s="186" t="s">
        <v>29</v>
      </c>
      <c r="AP23" s="182">
        <v>0</v>
      </c>
      <c r="AQ23" s="189">
        <v>7000</v>
      </c>
      <c r="AR23" s="189">
        <v>90000</v>
      </c>
      <c r="AS23" s="189"/>
      <c r="AT23" s="189"/>
      <c r="AU23" s="189"/>
      <c r="AV23" s="189"/>
      <c r="AW23" s="189">
        <v>15000</v>
      </c>
      <c r="AX23" s="189"/>
      <c r="AY23" s="186" t="s">
        <v>387</v>
      </c>
      <c r="AZ23" s="186">
        <v>2655000</v>
      </c>
      <c r="BA23" s="186"/>
      <c r="BB23" s="186"/>
      <c r="BC23" s="186"/>
      <c r="BD23" s="186"/>
      <c r="BE23" s="186"/>
      <c r="BF23" s="186"/>
      <c r="BG23" s="186"/>
      <c r="BH23" s="186"/>
      <c r="BI23" s="186"/>
      <c r="BJ23" s="186"/>
      <c r="BK23" s="186"/>
      <c r="BL23" s="186"/>
      <c r="BM23" s="186"/>
      <c r="BN23" s="186"/>
      <c r="BO23" s="186"/>
      <c r="BP23" s="186"/>
      <c r="BQ23" s="182"/>
      <c r="BR23" s="178">
        <v>22000</v>
      </c>
      <c r="BS23" s="190">
        <v>3000000</v>
      </c>
      <c r="BT23" s="186">
        <v>1642000</v>
      </c>
      <c r="BU23" s="181" t="s">
        <v>682</v>
      </c>
      <c r="BV23" s="181">
        <v>30</v>
      </c>
      <c r="BW23" s="181" t="s">
        <v>98</v>
      </c>
      <c r="BX23" s="181" t="s">
        <v>521</v>
      </c>
      <c r="BY23" s="181" t="s">
        <v>683</v>
      </c>
      <c r="BZ23" s="181">
        <v>1000</v>
      </c>
      <c r="CA23" s="181" t="s">
        <v>94</v>
      </c>
      <c r="CB23" s="181" t="s">
        <v>524</v>
      </c>
      <c r="CC23" s="181" t="s">
        <v>684</v>
      </c>
      <c r="CD23" s="181">
        <v>3000</v>
      </c>
      <c r="CE23" s="181" t="s">
        <v>98</v>
      </c>
      <c r="CF23" s="181" t="s">
        <v>567</v>
      </c>
      <c r="CG23" s="181" t="s">
        <v>127</v>
      </c>
      <c r="CH23" s="181">
        <v>3</v>
      </c>
      <c r="CI23" s="181" t="s">
        <v>94</v>
      </c>
      <c r="CJ23" s="181" t="s">
        <v>525</v>
      </c>
      <c r="CK23" s="181" t="s">
        <v>338</v>
      </c>
      <c r="CL23" s="181">
        <v>2</v>
      </c>
      <c r="CM23" s="181" t="s">
        <v>94</v>
      </c>
      <c r="CN23" s="181" t="s">
        <v>527</v>
      </c>
      <c r="CO23" s="181" t="s">
        <v>685</v>
      </c>
      <c r="CP23" s="181">
        <v>40</v>
      </c>
      <c r="CQ23" s="181" t="s">
        <v>352</v>
      </c>
      <c r="CR23" s="181" t="s">
        <v>529</v>
      </c>
      <c r="CS23" s="181" t="s">
        <v>131</v>
      </c>
      <c r="CT23" s="181">
        <v>1</v>
      </c>
      <c r="CU23" s="181" t="s">
        <v>94</v>
      </c>
      <c r="CV23" s="181" t="s">
        <v>534</v>
      </c>
      <c r="CW23" s="181" t="s">
        <v>390</v>
      </c>
      <c r="CX23" s="181">
        <v>1000</v>
      </c>
      <c r="CY23" s="181" t="s">
        <v>536</v>
      </c>
      <c r="CZ23" s="181" t="s">
        <v>537</v>
      </c>
      <c r="DA23" s="181" t="s">
        <v>132</v>
      </c>
      <c r="DB23" s="181">
        <v>200</v>
      </c>
      <c r="DC23" s="181" t="s">
        <v>134</v>
      </c>
      <c r="DD23" s="181" t="s">
        <v>538</v>
      </c>
      <c r="DE23" s="181" t="s">
        <v>370</v>
      </c>
      <c r="DF23" s="181">
        <v>800</v>
      </c>
      <c r="DG23" s="181" t="s">
        <v>369</v>
      </c>
      <c r="DH23" s="181" t="s">
        <v>540</v>
      </c>
      <c r="DI23" s="181" t="s">
        <v>29</v>
      </c>
      <c r="DJ23" s="181" t="s">
        <v>29</v>
      </c>
      <c r="DK23" s="181" t="s">
        <v>29</v>
      </c>
      <c r="DL23" s="181" t="s">
        <v>29</v>
      </c>
      <c r="DM23" s="181" t="s">
        <v>29</v>
      </c>
      <c r="DN23" s="181" t="s">
        <v>29</v>
      </c>
      <c r="DO23" s="181" t="s">
        <v>29</v>
      </c>
      <c r="DP23" s="181" t="s">
        <v>29</v>
      </c>
      <c r="DQ23" s="181" t="s">
        <v>29</v>
      </c>
      <c r="DR23" s="181" t="s">
        <v>29</v>
      </c>
      <c r="DS23" s="181" t="s">
        <v>29</v>
      </c>
      <c r="DT23" s="181" t="s">
        <v>29</v>
      </c>
      <c r="DU23" s="181" t="s">
        <v>29</v>
      </c>
      <c r="DV23" s="181" t="s">
        <v>29</v>
      </c>
      <c r="DW23" s="181" t="s">
        <v>29</v>
      </c>
      <c r="DX23" s="181" t="s">
        <v>29</v>
      </c>
      <c r="DY23" s="181" t="s">
        <v>29</v>
      </c>
      <c r="DZ23" s="181" t="s">
        <v>29</v>
      </c>
      <c r="EA23" s="181" t="s">
        <v>29</v>
      </c>
      <c r="EB23" s="181" t="s">
        <v>29</v>
      </c>
      <c r="EC23" s="181" t="s">
        <v>29</v>
      </c>
      <c r="ED23" s="181" t="s">
        <v>29</v>
      </c>
      <c r="EE23" s="181" t="s">
        <v>29</v>
      </c>
      <c r="EF23" s="181" t="s">
        <v>29</v>
      </c>
      <c r="EG23" s="181" t="s">
        <v>29</v>
      </c>
      <c r="EH23" s="181" t="s">
        <v>29</v>
      </c>
      <c r="EI23" s="181" t="s">
        <v>29</v>
      </c>
      <c r="EJ23" s="181" t="s">
        <v>29</v>
      </c>
      <c r="EK23" s="181" t="s">
        <v>29</v>
      </c>
      <c r="EL23" s="181" t="s">
        <v>29</v>
      </c>
      <c r="EM23" s="181" t="s">
        <v>29</v>
      </c>
      <c r="EN23" s="181" t="s">
        <v>29</v>
      </c>
    </row>
    <row r="24" spans="1:144" ht="15">
      <c r="A24" s="178" t="str">
        <f t="shared" si="0"/>
        <v>MIZPP20200103764B</v>
      </c>
      <c r="B24" s="186" t="s">
        <v>412</v>
      </c>
      <c r="C24" s="187" t="s">
        <v>203</v>
      </c>
      <c r="D24" s="186" t="s">
        <v>382</v>
      </c>
      <c r="E24" s="192" t="s">
        <v>705</v>
      </c>
      <c r="F24" s="186" t="s">
        <v>433</v>
      </c>
      <c r="H24" s="187"/>
      <c r="L24" s="188"/>
      <c r="M24" s="186" t="s">
        <v>433</v>
      </c>
      <c r="N24" s="187"/>
      <c r="O24" s="188"/>
      <c r="P24" s="187"/>
      <c r="Q24" s="186" t="s">
        <v>208</v>
      </c>
      <c r="S24" s="187"/>
      <c r="T24" s="187"/>
      <c r="Y24" s="186" t="s">
        <v>473</v>
      </c>
      <c r="Z24" s="189">
        <v>413000</v>
      </c>
      <c r="AA24" s="189">
        <v>0</v>
      </c>
      <c r="AB24" s="182">
        <v>413000</v>
      </c>
      <c r="AC24" s="189">
        <v>10000</v>
      </c>
      <c r="AD24" s="189">
        <v>0</v>
      </c>
      <c r="AE24" s="182">
        <f t="shared" si="1"/>
        <v>10000</v>
      </c>
      <c r="AF24" s="189">
        <v>2000</v>
      </c>
      <c r="AG24" s="185"/>
      <c r="AK24" s="182">
        <f t="shared" si="2"/>
        <v>2000</v>
      </c>
      <c r="AL24" s="185" t="s">
        <v>29</v>
      </c>
      <c r="AM24" s="185" t="s">
        <v>29</v>
      </c>
      <c r="AN24" s="185" t="s">
        <v>29</v>
      </c>
      <c r="AO24" s="186" t="s">
        <v>29</v>
      </c>
      <c r="AP24" s="182">
        <v>0</v>
      </c>
      <c r="AQ24" s="189">
        <v>15000</v>
      </c>
      <c r="AR24" s="189">
        <v>20000</v>
      </c>
      <c r="AS24" s="189">
        <v>10000</v>
      </c>
      <c r="AT24" s="189"/>
      <c r="AU24" s="189"/>
      <c r="AV24" s="189"/>
      <c r="AW24" s="189">
        <v>5000</v>
      </c>
      <c r="AX24" s="189"/>
      <c r="AY24" s="186" t="s">
        <v>388</v>
      </c>
      <c r="AZ24" s="186">
        <v>20000</v>
      </c>
      <c r="BA24" s="186" t="s">
        <v>511</v>
      </c>
      <c r="BB24" s="186">
        <v>1415000</v>
      </c>
      <c r="BC24" s="186" t="s">
        <v>512</v>
      </c>
      <c r="BD24" s="186">
        <v>0</v>
      </c>
      <c r="BE24" s="186" t="s">
        <v>513</v>
      </c>
      <c r="BF24" s="186">
        <v>60000</v>
      </c>
      <c r="BG24" s="186"/>
      <c r="BH24" s="186"/>
      <c r="BI24" s="186"/>
      <c r="BJ24" s="186"/>
      <c r="BK24" s="186"/>
      <c r="BL24" s="186"/>
      <c r="BM24" s="186"/>
      <c r="BN24" s="186"/>
      <c r="BO24" s="186"/>
      <c r="BP24" s="186"/>
      <c r="BQ24" s="182"/>
      <c r="BR24" s="178">
        <v>30000</v>
      </c>
      <c r="BS24" s="190">
        <v>2000000</v>
      </c>
      <c r="BT24" s="186">
        <v>858000</v>
      </c>
      <c r="BU24" s="181" t="s">
        <v>127</v>
      </c>
      <c r="BV24" s="181">
        <v>1</v>
      </c>
      <c r="BW24" s="181" t="s">
        <v>94</v>
      </c>
      <c r="BX24" s="181" t="s">
        <v>525</v>
      </c>
      <c r="BY24" s="181" t="s">
        <v>338</v>
      </c>
      <c r="BZ24" s="181">
        <v>1</v>
      </c>
      <c r="CA24" s="181" t="s">
        <v>94</v>
      </c>
      <c r="CB24" s="181" t="s">
        <v>527</v>
      </c>
      <c r="CC24" s="181" t="s">
        <v>389</v>
      </c>
      <c r="CD24" s="181">
        <v>20</v>
      </c>
      <c r="CE24" s="181" t="s">
        <v>352</v>
      </c>
      <c r="CF24" s="181" t="s">
        <v>529</v>
      </c>
      <c r="CG24" s="181" t="s">
        <v>128</v>
      </c>
      <c r="CH24" s="181">
        <v>25</v>
      </c>
      <c r="CI24" s="181" t="s">
        <v>94</v>
      </c>
      <c r="CJ24" s="181" t="s">
        <v>530</v>
      </c>
      <c r="CK24" s="181" t="s">
        <v>371</v>
      </c>
      <c r="CL24" s="181">
        <v>500</v>
      </c>
      <c r="CM24" s="181" t="s">
        <v>531</v>
      </c>
      <c r="CN24" s="181" t="s">
        <v>532</v>
      </c>
      <c r="CO24" s="181" t="s">
        <v>686</v>
      </c>
      <c r="CP24" s="181">
        <v>1</v>
      </c>
      <c r="CQ24" s="181" t="s">
        <v>93</v>
      </c>
      <c r="CR24" s="181" t="s">
        <v>687</v>
      </c>
      <c r="CS24" s="181" t="s">
        <v>688</v>
      </c>
      <c r="CT24" s="181">
        <v>60</v>
      </c>
      <c r="CU24" s="181" t="s">
        <v>93</v>
      </c>
      <c r="CV24" s="181" t="s">
        <v>687</v>
      </c>
      <c r="CW24" s="181" t="s">
        <v>339</v>
      </c>
      <c r="CX24" s="181">
        <v>5</v>
      </c>
      <c r="CY24" s="181" t="s">
        <v>98</v>
      </c>
      <c r="CZ24" s="181" t="s">
        <v>689</v>
      </c>
      <c r="DA24" s="181" t="s">
        <v>132</v>
      </c>
      <c r="DB24" s="181">
        <v>100</v>
      </c>
      <c r="DC24" s="181" t="s">
        <v>134</v>
      </c>
      <c r="DD24" s="181" t="s">
        <v>538</v>
      </c>
      <c r="DE24" s="181" t="s">
        <v>370</v>
      </c>
      <c r="DF24" s="181">
        <v>400</v>
      </c>
      <c r="DG24" s="181" t="s">
        <v>369</v>
      </c>
      <c r="DH24" s="181" t="s">
        <v>540</v>
      </c>
      <c r="DI24" s="181" t="s">
        <v>29</v>
      </c>
      <c r="DJ24" s="181" t="s">
        <v>29</v>
      </c>
      <c r="DK24" s="181" t="s">
        <v>29</v>
      </c>
      <c r="DL24" s="181" t="s">
        <v>29</v>
      </c>
      <c r="DM24" s="181" t="s">
        <v>29</v>
      </c>
      <c r="DN24" s="181" t="s">
        <v>29</v>
      </c>
      <c r="DO24" s="181" t="s">
        <v>29</v>
      </c>
      <c r="DP24" s="181" t="s">
        <v>29</v>
      </c>
      <c r="DQ24" s="181" t="s">
        <v>29</v>
      </c>
      <c r="DR24" s="181" t="s">
        <v>29</v>
      </c>
      <c r="DS24" s="181" t="s">
        <v>29</v>
      </c>
      <c r="DT24" s="181" t="s">
        <v>29</v>
      </c>
      <c r="DU24" s="181" t="s">
        <v>29</v>
      </c>
      <c r="DV24" s="181" t="s">
        <v>29</v>
      </c>
      <c r="DW24" s="181" t="s">
        <v>29</v>
      </c>
      <c r="DX24" s="181" t="s">
        <v>29</v>
      </c>
      <c r="DY24" s="181" t="s">
        <v>29</v>
      </c>
      <c r="DZ24" s="181" t="s">
        <v>29</v>
      </c>
      <c r="EA24" s="181" t="s">
        <v>29</v>
      </c>
      <c r="EB24" s="181" t="s">
        <v>29</v>
      </c>
      <c r="EC24" s="181" t="s">
        <v>29</v>
      </c>
      <c r="ED24" s="181" t="s">
        <v>29</v>
      </c>
      <c r="EE24" s="181" t="s">
        <v>29</v>
      </c>
      <c r="EF24" s="181" t="s">
        <v>29</v>
      </c>
      <c r="EG24" s="181" t="s">
        <v>29</v>
      </c>
      <c r="EH24" s="181" t="s">
        <v>29</v>
      </c>
      <c r="EI24" s="181" t="s">
        <v>29</v>
      </c>
      <c r="EJ24" s="181" t="s">
        <v>29</v>
      </c>
      <c r="EK24" s="181" t="s">
        <v>29</v>
      </c>
      <c r="EL24" s="181" t="s">
        <v>29</v>
      </c>
      <c r="EM24" s="181" t="s">
        <v>29</v>
      </c>
      <c r="EN24" s="181" t="s">
        <v>29</v>
      </c>
    </row>
    <row r="25" spans="1:144" ht="15">
      <c r="A25" s="178" t="str">
        <f t="shared" si="0"/>
        <v>MIZPP30165667131C</v>
      </c>
      <c r="B25" s="186" t="s">
        <v>413</v>
      </c>
      <c r="C25" s="187" t="s">
        <v>204</v>
      </c>
      <c r="D25" s="186" t="s">
        <v>391</v>
      </c>
      <c r="E25" s="186">
        <v>65667131</v>
      </c>
      <c r="F25" s="186" t="s">
        <v>440</v>
      </c>
      <c r="H25" s="187"/>
      <c r="L25" s="188"/>
      <c r="M25" s="186" t="s">
        <v>440</v>
      </c>
      <c r="N25" s="187"/>
      <c r="O25" s="188"/>
      <c r="P25" s="187"/>
      <c r="Q25" s="186" t="s">
        <v>451</v>
      </c>
      <c r="S25" s="187"/>
      <c r="T25" s="187"/>
      <c r="Y25" s="186" t="s">
        <v>474</v>
      </c>
      <c r="Z25" s="189">
        <v>666477</v>
      </c>
      <c r="AA25" s="189">
        <v>430931</v>
      </c>
      <c r="AB25" s="182">
        <v>1097408</v>
      </c>
      <c r="AC25" s="189">
        <v>0</v>
      </c>
      <c r="AD25" s="189">
        <v>0</v>
      </c>
      <c r="AE25" s="182">
        <f t="shared" si="1"/>
        <v>0</v>
      </c>
      <c r="AF25" s="189">
        <v>0</v>
      </c>
      <c r="AG25" s="185"/>
      <c r="AK25" s="182">
        <f t="shared" si="2"/>
        <v>0</v>
      </c>
      <c r="AL25" s="185" t="s">
        <v>29</v>
      </c>
      <c r="AM25" s="185" t="s">
        <v>29</v>
      </c>
      <c r="AN25" s="185" t="s">
        <v>29</v>
      </c>
      <c r="AO25" s="186" t="s">
        <v>29</v>
      </c>
      <c r="AP25" s="182">
        <v>0</v>
      </c>
      <c r="AQ25" s="189"/>
      <c r="AR25" s="189"/>
      <c r="AS25" s="189"/>
      <c r="AT25" s="189">
        <v>42592</v>
      </c>
      <c r="AU25" s="189"/>
      <c r="AV25" s="189"/>
      <c r="AW25" s="189"/>
      <c r="AX25" s="189"/>
      <c r="AY25" s="186" t="s">
        <v>514</v>
      </c>
      <c r="AZ25" s="186">
        <v>96000</v>
      </c>
      <c r="BA25" s="186" t="s">
        <v>515</v>
      </c>
      <c r="BB25" s="186">
        <v>87000</v>
      </c>
      <c r="BC25" s="186" t="s">
        <v>516</v>
      </c>
      <c r="BD25" s="186">
        <v>200000</v>
      </c>
      <c r="BE25" s="186" t="s">
        <v>517</v>
      </c>
      <c r="BF25" s="186">
        <v>256000</v>
      </c>
      <c r="BG25" s="186" t="s">
        <v>518</v>
      </c>
      <c r="BH25" s="186">
        <v>25000</v>
      </c>
      <c r="BI25" s="186" t="s">
        <v>519</v>
      </c>
      <c r="BJ25" s="186">
        <v>20000</v>
      </c>
      <c r="BK25" s="186" t="s">
        <v>702</v>
      </c>
      <c r="BL25" s="186">
        <v>81000</v>
      </c>
      <c r="BM25" s="186" t="s">
        <v>703</v>
      </c>
      <c r="BN25" s="186">
        <v>55000</v>
      </c>
      <c r="BO25" s="186" t="s">
        <v>704</v>
      </c>
      <c r="BP25" s="186">
        <v>40000</v>
      </c>
      <c r="BQ25" s="182"/>
      <c r="BR25" s="178">
        <v>0</v>
      </c>
      <c r="BS25" s="190">
        <v>2000000</v>
      </c>
      <c r="BT25" s="186">
        <v>0</v>
      </c>
      <c r="BU25" s="181" t="s">
        <v>690</v>
      </c>
      <c r="BV25" s="181">
        <v>3</v>
      </c>
      <c r="BW25" s="181" t="s">
        <v>94</v>
      </c>
      <c r="BX25" s="181" t="s">
        <v>527</v>
      </c>
      <c r="BY25" s="181" t="s">
        <v>691</v>
      </c>
      <c r="BZ25" s="181">
        <v>45</v>
      </c>
      <c r="CA25" s="181" t="s">
        <v>352</v>
      </c>
      <c r="CB25" s="181" t="s">
        <v>529</v>
      </c>
      <c r="CC25" s="181" t="s">
        <v>692</v>
      </c>
      <c r="CD25" s="181">
        <v>16</v>
      </c>
      <c r="CE25" s="181" t="s">
        <v>94</v>
      </c>
      <c r="CF25" s="181" t="s">
        <v>527</v>
      </c>
      <c r="CG25" s="181" t="s">
        <v>693</v>
      </c>
      <c r="CH25" s="181">
        <v>500</v>
      </c>
      <c r="CI25" s="181" t="s">
        <v>352</v>
      </c>
      <c r="CJ25" s="181" t="s">
        <v>529</v>
      </c>
      <c r="CK25" s="181" t="s">
        <v>694</v>
      </c>
      <c r="CL25" s="181">
        <v>4</v>
      </c>
      <c r="CM25" s="181" t="s">
        <v>94</v>
      </c>
      <c r="CN25" s="181" t="s">
        <v>534</v>
      </c>
      <c r="CO25" s="181" t="s">
        <v>695</v>
      </c>
      <c r="CP25" s="181">
        <v>4000</v>
      </c>
      <c r="CQ25" s="181" t="s">
        <v>536</v>
      </c>
      <c r="CR25" s="181" t="s">
        <v>537</v>
      </c>
      <c r="CS25" s="181" t="s">
        <v>696</v>
      </c>
      <c r="CT25" s="181">
        <v>4</v>
      </c>
      <c r="CU25" s="181" t="s">
        <v>94</v>
      </c>
      <c r="CV25" s="181" t="s">
        <v>534</v>
      </c>
      <c r="CW25" s="181" t="s">
        <v>697</v>
      </c>
      <c r="CX25" s="181">
        <v>4800</v>
      </c>
      <c r="CY25" s="181" t="s">
        <v>536</v>
      </c>
      <c r="CZ25" s="181" t="s">
        <v>537</v>
      </c>
      <c r="DA25" s="181" t="s">
        <v>698</v>
      </c>
      <c r="DB25" s="181">
        <v>10</v>
      </c>
      <c r="DC25" s="181" t="s">
        <v>94</v>
      </c>
      <c r="DD25" s="181" t="s">
        <v>525</v>
      </c>
      <c r="DE25" s="181" t="s">
        <v>519</v>
      </c>
      <c r="DF25" s="181">
        <v>2</v>
      </c>
      <c r="DG25" s="181" t="s">
        <v>94</v>
      </c>
      <c r="DH25" s="181" t="s">
        <v>527</v>
      </c>
      <c r="DI25" s="181" t="s">
        <v>699</v>
      </c>
      <c r="DJ25" s="181">
        <v>20</v>
      </c>
      <c r="DK25" s="181" t="s">
        <v>352</v>
      </c>
      <c r="DL25" s="181" t="s">
        <v>529</v>
      </c>
      <c r="DM25" s="181" t="s">
        <v>700</v>
      </c>
      <c r="DN25" s="181">
        <v>1</v>
      </c>
      <c r="DO25" s="181" t="s">
        <v>94</v>
      </c>
      <c r="DP25" s="181" t="s">
        <v>527</v>
      </c>
      <c r="DQ25" s="181" t="s">
        <v>701</v>
      </c>
      <c r="DR25" s="181">
        <v>12</v>
      </c>
      <c r="DS25" s="181" t="s">
        <v>352</v>
      </c>
      <c r="DT25" s="181" t="s">
        <v>529</v>
      </c>
      <c r="DU25" s="181" t="s">
        <v>29</v>
      </c>
      <c r="DV25" s="181" t="s">
        <v>29</v>
      </c>
      <c r="DW25" s="181" t="s">
        <v>29</v>
      </c>
      <c r="DX25" s="181" t="s">
        <v>29</v>
      </c>
      <c r="DY25" s="181" t="s">
        <v>29</v>
      </c>
      <c r="DZ25" s="181" t="s">
        <v>29</v>
      </c>
      <c r="EA25" s="181" t="s">
        <v>29</v>
      </c>
      <c r="EB25" s="181" t="s">
        <v>29</v>
      </c>
      <c r="EC25" s="181" t="s">
        <v>29</v>
      </c>
      <c r="ED25" s="181" t="s">
        <v>29</v>
      </c>
      <c r="EE25" s="181" t="s">
        <v>29</v>
      </c>
      <c r="EF25" s="181" t="s">
        <v>29</v>
      </c>
      <c r="EG25" s="181" t="s">
        <v>29</v>
      </c>
      <c r="EH25" s="181" t="s">
        <v>29</v>
      </c>
      <c r="EI25" s="181" t="s">
        <v>29</v>
      </c>
      <c r="EJ25" s="181" t="s">
        <v>29</v>
      </c>
      <c r="EK25" s="181" t="s">
        <v>29</v>
      </c>
      <c r="EL25" s="181" t="s">
        <v>29</v>
      </c>
      <c r="EM25" s="181" t="s">
        <v>29</v>
      </c>
      <c r="EN25" s="181" t="s">
        <v>29</v>
      </c>
    </row>
  </sheetData>
  <sheetProtection sheet="1"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Projekt a žadatel</vt:lpstr>
      <vt:lpstr>Žádost o změnu rozpočtu</vt:lpstr>
      <vt:lpstr>Žádost o změnu procenta</vt:lpstr>
      <vt:lpstr>Žádost o změnu indikátorů</vt:lpstr>
      <vt:lpstr>DB_rozpočtů</vt:lpstr>
      <vt:lpstr>'Projekt a žadatel'!Oblast_tisku</vt:lpstr>
      <vt:lpstr>'Žádost o změnu indikátorů'!Oblast_tisku</vt:lpstr>
      <vt:lpstr>'Žádost o změnu procenta'!Oblast_tisku</vt:lpstr>
      <vt:lpstr>'Žádost o změnu rozpočtu'!Oblast_tisku</vt:lpstr>
    </vt:vector>
  </TitlesOfParts>
  <Company>MŽP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 na podporu projektů NNO - změnový formulář</dc:title>
  <dc:creator>David Kunssberger</dc:creator>
  <dc:description>Verze 1.0</dc:description>
  <cp:lastModifiedBy>David Kunssberger</cp:lastModifiedBy>
  <cp:lastPrinted>2026-05-04T08:32:37Z</cp:lastPrinted>
  <dcterms:created xsi:type="dcterms:W3CDTF">2010-04-23T14:11:11Z</dcterms:created>
  <dcterms:modified xsi:type="dcterms:W3CDTF">2026-05-04T08:50:06Z</dcterms:modified>
</cp:coreProperties>
</file>