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300\320\322\NNO dotace\2025 Program\Změny projektů\Změnový formulář\"/>
    </mc:Choice>
  </mc:AlternateContent>
  <xr:revisionPtr revIDLastSave="0" documentId="13_ncr:1_{A6FE8F97-4081-4B8D-A963-8BC59FF0757F}" xr6:coauthVersionLast="47" xr6:coauthVersionMax="47" xr10:uidLastSave="{00000000-0000-0000-0000-000000000000}"/>
  <bookViews>
    <workbookView xWindow="-120" yWindow="-120" windowWidth="25440" windowHeight="15390" tabRatio="942" xr2:uid="{00000000-000D-0000-FFFF-FFFF00000000}"/>
  </bookViews>
  <sheets>
    <sheet name="Projekt a žadatel" sheetId="11" r:id="rId1"/>
    <sheet name="Žádost o změnu rozpočtu" sheetId="1" r:id="rId2"/>
    <sheet name="Žádost o změnu procenta" sheetId="10" r:id="rId3"/>
    <sheet name="Žádost o změnu indikátorů" sheetId="14" r:id="rId4"/>
    <sheet name="DB_rozpočtů" sheetId="12" state="hidden" r:id="rId5"/>
  </sheets>
  <definedNames>
    <definedName name="_xlnm._FilterDatabase" localSheetId="4" hidden="1">DB_rozpočtů!$A$1:$CT$62</definedName>
    <definedName name="_xlnm.Print_Area" localSheetId="0">'Projekt a žadatel'!$A$1:$H$54</definedName>
    <definedName name="_xlnm.Print_Area" localSheetId="3">'Žádost o změnu indikátorů'!$A$1:$G$68</definedName>
    <definedName name="_xlnm.Print_Area" localSheetId="2">'Žádost o změnu procenta'!$A$1:$E$44</definedName>
    <definedName name="_xlnm.Print_Area" localSheetId="1">'Žádost o změnu rozpočtu'!$A$1:$E$67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2" l="1"/>
  <c r="C42" i="1"/>
  <c r="C41" i="1"/>
  <c r="C40" i="1"/>
  <c r="C14" i="10" l="1"/>
  <c r="C13" i="10"/>
  <c r="D4" i="11"/>
  <c r="AK60" i="12"/>
  <c r="AK59" i="12"/>
  <c r="AK58" i="12"/>
  <c r="AK57" i="12"/>
  <c r="AK56" i="12"/>
  <c r="AK55" i="12"/>
  <c r="AK54" i="12"/>
  <c r="AK53" i="12"/>
  <c r="AK52" i="12"/>
  <c r="AK51" i="12"/>
  <c r="AK50" i="12"/>
  <c r="AK49" i="12"/>
  <c r="AK48" i="12"/>
  <c r="AK47" i="12"/>
  <c r="AK46" i="12"/>
  <c r="AK45" i="12"/>
  <c r="AK44" i="12"/>
  <c r="AK43" i="12"/>
  <c r="AK42" i="12"/>
  <c r="AK41" i="12"/>
  <c r="AK40" i="12"/>
  <c r="AK39" i="12"/>
  <c r="AK38" i="12"/>
  <c r="AK37" i="12"/>
  <c r="AK36" i="12"/>
  <c r="AK35" i="12"/>
  <c r="AK34" i="12"/>
  <c r="AK33" i="12"/>
  <c r="AK32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3" i="12"/>
  <c r="AK12" i="12"/>
  <c r="AK11" i="12"/>
  <c r="AK10" i="12"/>
  <c r="AK9" i="12"/>
  <c r="AK8" i="12"/>
  <c r="AK7" i="12"/>
  <c r="AK6" i="12"/>
  <c r="AK5" i="12"/>
  <c r="AK4" i="12"/>
  <c r="AK3" i="12"/>
  <c r="AE55" i="12"/>
  <c r="AE53" i="12"/>
  <c r="AE51" i="12"/>
  <c r="AE49" i="12"/>
  <c r="AE47" i="12"/>
  <c r="AE45" i="12"/>
  <c r="AE43" i="12"/>
  <c r="AE41" i="12"/>
  <c r="AE39" i="12"/>
  <c r="AE37" i="12"/>
  <c r="AE35" i="12"/>
  <c r="AE33" i="12"/>
  <c r="AE31" i="12"/>
  <c r="AE29" i="12"/>
  <c r="AE27" i="12"/>
  <c r="AE25" i="12"/>
  <c r="AE23" i="12"/>
  <c r="AE21" i="12"/>
  <c r="AE19" i="12"/>
  <c r="AE17" i="12"/>
  <c r="AE15" i="12"/>
  <c r="AE13" i="12"/>
  <c r="AE11" i="12"/>
  <c r="AE9" i="12"/>
  <c r="AE7" i="12"/>
  <c r="AE5" i="12"/>
  <c r="AE3" i="12"/>
  <c r="D33" i="1"/>
  <c r="BP1" i="12"/>
  <c r="BO1" i="12"/>
  <c r="BN1" i="12"/>
  <c r="BM1" i="12"/>
  <c r="BQ1" i="12"/>
  <c r="AE60" i="12"/>
  <c r="AE59" i="12"/>
  <c r="AE56" i="12"/>
  <c r="AE54" i="12"/>
  <c r="AE52" i="12"/>
  <c r="AE50" i="12"/>
  <c r="AE48" i="12"/>
  <c r="AE46" i="12"/>
  <c r="AE44" i="12"/>
  <c r="AE42" i="12"/>
  <c r="AE40" i="12"/>
  <c r="AE38" i="12"/>
  <c r="AE36" i="12"/>
  <c r="AE34" i="12"/>
  <c r="AE32" i="12"/>
  <c r="AE30" i="12"/>
  <c r="AE28" i="12"/>
  <c r="AE26" i="12"/>
  <c r="AE24" i="12"/>
  <c r="AE22" i="12"/>
  <c r="AE20" i="12"/>
  <c r="AE18" i="12"/>
  <c r="AE16" i="12"/>
  <c r="AE14" i="12"/>
  <c r="AE12" i="12"/>
  <c r="AE10" i="12"/>
  <c r="AE8" i="12"/>
  <c r="AE6" i="12"/>
  <c r="AE4" i="12"/>
  <c r="AB60" i="12"/>
  <c r="AB59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AB7" i="12"/>
  <c r="AB6" i="12"/>
  <c r="AB5" i="12"/>
  <c r="AB4" i="12"/>
  <c r="AB3" i="12"/>
  <c r="A6" i="14" l="1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C5" i="14" l="1"/>
  <c r="K11" i="1" l="1"/>
  <c r="C6" i="1"/>
  <c r="C3" i="1" l="1"/>
  <c r="F23" i="11"/>
  <c r="E22" i="11"/>
  <c r="K33" i="1"/>
  <c r="K23" i="1"/>
  <c r="K19" i="1"/>
  <c r="K16" i="1"/>
  <c r="K12" i="1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F32" i="14" l="1"/>
  <c r="F28" i="14"/>
  <c r="F24" i="14"/>
  <c r="F20" i="14"/>
  <c r="D33" i="14"/>
  <c r="D29" i="14"/>
  <c r="D25" i="14"/>
  <c r="D21" i="14"/>
  <c r="C34" i="14"/>
  <c r="C30" i="14"/>
  <c r="C26" i="14"/>
  <c r="C22" i="14"/>
  <c r="C18" i="14"/>
  <c r="B31" i="14"/>
  <c r="B27" i="14"/>
  <c r="B23" i="14"/>
  <c r="B19" i="14"/>
  <c r="C17" i="14"/>
  <c r="C25" i="14"/>
  <c r="B34" i="14"/>
  <c r="B26" i="14"/>
  <c r="B18" i="14"/>
  <c r="B29" i="14"/>
  <c r="F17" i="14"/>
  <c r="F25" i="14"/>
  <c r="D30" i="14"/>
  <c r="D18" i="14"/>
  <c r="C19" i="14"/>
  <c r="B20" i="14"/>
  <c r="C57" i="1"/>
  <c r="F31" i="14"/>
  <c r="F27" i="14"/>
  <c r="F23" i="14"/>
  <c r="F19" i="14"/>
  <c r="D32" i="14"/>
  <c r="D28" i="14"/>
  <c r="D24" i="14"/>
  <c r="D20" i="14"/>
  <c r="C33" i="14"/>
  <c r="C29" i="14"/>
  <c r="C21" i="14"/>
  <c r="B30" i="14"/>
  <c r="B22" i="14"/>
  <c r="B17" i="14"/>
  <c r="B21" i="14"/>
  <c r="F29" i="14"/>
  <c r="D34" i="14"/>
  <c r="D22" i="14"/>
  <c r="C23" i="14"/>
  <c r="B24" i="14"/>
  <c r="F34" i="14"/>
  <c r="F30" i="14"/>
  <c r="F26" i="14"/>
  <c r="F22" i="14"/>
  <c r="F18" i="14"/>
  <c r="D31" i="14"/>
  <c r="D27" i="14"/>
  <c r="D23" i="14"/>
  <c r="D19" i="14"/>
  <c r="C32" i="14"/>
  <c r="C28" i="14"/>
  <c r="C24" i="14"/>
  <c r="C20" i="14"/>
  <c r="B33" i="14"/>
  <c r="B25" i="14"/>
  <c r="F33" i="14"/>
  <c r="F21" i="14"/>
  <c r="D26" i="14"/>
  <c r="C31" i="14"/>
  <c r="B32" i="14"/>
  <c r="D17" i="14"/>
  <c r="C27" i="14"/>
  <c r="B28" i="14"/>
  <c r="B25" i="1"/>
  <c r="C53" i="1"/>
  <c r="B55" i="1"/>
  <c r="B53" i="1"/>
  <c r="C55" i="1"/>
  <c r="B54" i="1"/>
  <c r="C54" i="1"/>
  <c r="B45" i="1"/>
  <c r="C6" i="11"/>
  <c r="F6" i="11" s="1"/>
  <c r="B24" i="1"/>
  <c r="B44" i="1"/>
  <c r="C64" i="1"/>
  <c r="B21" i="1"/>
  <c r="B42" i="1"/>
  <c r="B51" i="1"/>
  <c r="B41" i="10"/>
  <c r="B22" i="1"/>
  <c r="B43" i="1"/>
  <c r="B52" i="1"/>
  <c r="C68" i="14"/>
  <c r="C51" i="1"/>
  <c r="C11" i="1"/>
  <c r="B74" i="1"/>
  <c r="C39" i="1"/>
  <c r="C22" i="1"/>
  <c r="C52" i="1"/>
  <c r="C35" i="1"/>
  <c r="C17" i="1"/>
  <c r="C43" i="1"/>
  <c r="C74" i="1"/>
  <c r="D74" i="1" s="1"/>
  <c r="C18" i="1"/>
  <c r="C24" i="1"/>
  <c r="C44" i="1"/>
  <c r="C13" i="1"/>
  <c r="C20" i="1"/>
  <c r="C25" i="1"/>
  <c r="C37" i="1"/>
  <c r="C45" i="1"/>
  <c r="C36" i="1"/>
  <c r="C14" i="1"/>
  <c r="C21" i="1"/>
  <c r="C34" i="1"/>
  <c r="C38" i="1"/>
  <c r="K56" i="1"/>
  <c r="K60" i="1" s="1"/>
  <c r="K58" i="1" s="1"/>
  <c r="C5" i="11"/>
  <c r="F5" i="11" s="1"/>
  <c r="D23" i="1" l="1"/>
  <c r="D19" i="1"/>
  <c r="D16" i="1"/>
  <c r="D12" i="1"/>
  <c r="EM1" i="12"/>
  <c r="EL1" i="12"/>
  <c r="EK1" i="12"/>
  <c r="EJ1" i="12"/>
  <c r="EI1" i="12"/>
  <c r="EH1" i="12"/>
  <c r="EG1" i="12"/>
  <c r="EF1" i="12"/>
  <c r="EE1" i="12"/>
  <c r="ED1" i="12"/>
  <c r="EC1" i="12"/>
  <c r="EB1" i="12"/>
  <c r="EA1" i="12"/>
  <c r="DZ1" i="12"/>
  <c r="DY1" i="12"/>
  <c r="DX1" i="12"/>
  <c r="DW1" i="12"/>
  <c r="DV1" i="12"/>
  <c r="DU1" i="12"/>
  <c r="DT1" i="12"/>
  <c r="DS1" i="12"/>
  <c r="DR1" i="12"/>
  <c r="DQ1" i="12"/>
  <c r="DP1" i="12"/>
  <c r="DO1" i="12"/>
  <c r="DN1" i="12"/>
  <c r="DM1" i="12"/>
  <c r="DL1" i="12"/>
  <c r="DK1" i="12"/>
  <c r="DJ1" i="12"/>
  <c r="DI1" i="12"/>
  <c r="DH1" i="12"/>
  <c r="DG1" i="12"/>
  <c r="DF1" i="12"/>
  <c r="DE1" i="12"/>
  <c r="DD1" i="12"/>
  <c r="DC1" i="12"/>
  <c r="DB1" i="12"/>
  <c r="DA1" i="12"/>
  <c r="CZ1" i="12"/>
  <c r="CY1" i="12"/>
  <c r="CX1" i="12"/>
  <c r="CW1" i="12"/>
  <c r="CV1" i="12"/>
  <c r="CU1" i="12"/>
  <c r="CT1" i="12"/>
  <c r="CS1" i="12"/>
  <c r="CR1" i="12"/>
  <c r="CQ1" i="12"/>
  <c r="CP1" i="12"/>
  <c r="CO1" i="12"/>
  <c r="CN1" i="12"/>
  <c r="CM1" i="12"/>
  <c r="CL1" i="12"/>
  <c r="CK1" i="12"/>
  <c r="CJ1" i="12"/>
  <c r="CI1" i="12"/>
  <c r="CH1" i="12"/>
  <c r="CG1" i="12"/>
  <c r="CF1" i="12"/>
  <c r="CE1" i="12"/>
  <c r="CD1" i="12"/>
  <c r="CC1" i="12"/>
  <c r="CB1" i="12"/>
  <c r="CA1" i="12"/>
  <c r="BZ1" i="12"/>
  <c r="BY1" i="12"/>
  <c r="BX1" i="12"/>
  <c r="BW1" i="12"/>
  <c r="BV1" i="12"/>
  <c r="BU1" i="12"/>
  <c r="BT1" i="12"/>
  <c r="BS1" i="12"/>
  <c r="BR1" i="12"/>
  <c r="BL1" i="12"/>
  <c r="BK1" i="12"/>
  <c r="BJ1" i="12"/>
  <c r="BI1" i="12"/>
  <c r="BH1" i="12"/>
  <c r="BG1" i="12"/>
  <c r="BF1" i="12"/>
  <c r="BE1" i="12"/>
  <c r="BD1" i="12"/>
  <c r="BC1" i="12"/>
  <c r="BB1" i="12"/>
  <c r="BA1" i="12"/>
  <c r="AZ1" i="12"/>
  <c r="AY1" i="12"/>
  <c r="AX1" i="12"/>
  <c r="AW1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D56" i="1" l="1"/>
  <c r="D60" i="1" s="1"/>
  <c r="E4" i="11" l="1"/>
  <c r="F53" i="1" l="1"/>
  <c r="F52" i="1"/>
  <c r="F22" i="1"/>
  <c r="C19" i="1" l="1"/>
  <c r="C2" i="14" l="1"/>
  <c r="B15" i="14" s="1"/>
  <c r="A7" i="1" l="1"/>
  <c r="A2" i="10" l="1"/>
  <c r="F1" i="10"/>
  <c r="F11" i="1"/>
  <c r="M1" i="12"/>
  <c r="C6" i="10"/>
  <c r="C2" i="1"/>
  <c r="C3" i="10" s="1"/>
  <c r="L1" i="12"/>
  <c r="K1" i="12"/>
  <c r="J1" i="12"/>
  <c r="I1" i="12"/>
  <c r="H1" i="12"/>
  <c r="G1" i="12"/>
  <c r="F1" i="12"/>
  <c r="E1" i="12"/>
  <c r="D1" i="12"/>
  <c r="C1" i="12"/>
  <c r="B1" i="12"/>
  <c r="D7" i="14" l="1"/>
  <c r="F40" i="1"/>
  <c r="F36" i="1"/>
  <c r="F35" i="1"/>
  <c r="F43" i="1"/>
  <c r="F24" i="1"/>
  <c r="C21" i="10"/>
  <c r="C23" i="10" s="1"/>
  <c r="C24" i="10" s="1"/>
  <c r="F44" i="1"/>
  <c r="F39" i="1"/>
  <c r="F20" i="1"/>
  <c r="F37" i="1"/>
  <c r="F38" i="1"/>
  <c r="F18" i="1"/>
  <c r="F45" i="1"/>
  <c r="F17" i="1"/>
  <c r="F25" i="1"/>
  <c r="F14" i="1"/>
  <c r="F15" i="1"/>
  <c r="F51" i="1"/>
  <c r="F34" i="1" l="1"/>
  <c r="A8" i="10"/>
  <c r="D24" i="10"/>
  <c r="C8" i="1"/>
  <c r="C4" i="14"/>
  <c r="C3" i="14"/>
  <c r="C12" i="1"/>
  <c r="C77" i="1" s="1"/>
  <c r="C15" i="10"/>
  <c r="C16" i="10" s="1"/>
  <c r="A40" i="10" s="1"/>
  <c r="C4" i="1"/>
  <c r="C5" i="1"/>
  <c r="C5" i="10" s="1"/>
  <c r="C16" i="1"/>
  <c r="C23" i="1"/>
  <c r="F13" i="1"/>
  <c r="F42" i="1"/>
  <c r="C81" i="1"/>
  <c r="F81" i="1" s="1"/>
  <c r="F57" i="1"/>
  <c r="D58" i="1"/>
  <c r="C72" i="1" s="1"/>
  <c r="C4" i="10" l="1"/>
  <c r="C78" i="1"/>
  <c r="F78" i="1" s="1"/>
  <c r="F77" i="1"/>
  <c r="C79" i="1"/>
  <c r="F79" i="1" s="1"/>
  <c r="D72" i="1"/>
  <c r="F72" i="1" s="1"/>
  <c r="C33" i="1" l="1"/>
  <c r="F41" i="1"/>
  <c r="C80" i="1" l="1"/>
  <c r="F80" i="1" s="1"/>
  <c r="F82" i="1" s="1"/>
  <c r="B65" i="1" s="1"/>
  <c r="C56" i="1"/>
  <c r="C60" i="1" s="1"/>
  <c r="C58" i="1" s="1"/>
  <c r="A1" i="1" l="1"/>
  <c r="A8" i="1"/>
  <c r="F56" i="1"/>
  <c r="F12" i="1" s="1"/>
  <c r="G12" i="1" s="1"/>
  <c r="C71" i="1"/>
  <c r="D71" i="1" s="1"/>
  <c r="F71" i="1" s="1"/>
  <c r="C73" i="1" l="1"/>
  <c r="D73" i="1" s="1"/>
  <c r="F73" i="1" s="1"/>
  <c r="B62" i="1" s="1"/>
</calcChain>
</file>

<file path=xl/sharedStrings.xml><?xml version="1.0" encoding="utf-8"?>
<sst xmlns="http://schemas.openxmlformats.org/spreadsheetml/2006/main" count="5680" uniqueCount="1180">
  <si>
    <t>Název položky</t>
  </si>
  <si>
    <t xml:space="preserve">Tisk </t>
  </si>
  <si>
    <t>Ostatní osobní náklady  (DPP )</t>
  </si>
  <si>
    <t>Název projektu:</t>
  </si>
  <si>
    <t>Kraj</t>
  </si>
  <si>
    <t>Telefon</t>
  </si>
  <si>
    <t>Kód</t>
  </si>
  <si>
    <t>1.1.</t>
  </si>
  <si>
    <t>1.2.</t>
  </si>
  <si>
    <t>1.3.</t>
  </si>
  <si>
    <t>2.1.</t>
  </si>
  <si>
    <t>3.1.</t>
  </si>
  <si>
    <t>Celkem</t>
  </si>
  <si>
    <t>Cestovné</t>
  </si>
  <si>
    <t xml:space="preserve">Grafické práce, předtisková úprava </t>
  </si>
  <si>
    <t xml:space="preserve">Pronájem prostor a techniky </t>
  </si>
  <si>
    <t xml:space="preserve">Distribuce </t>
  </si>
  <si>
    <t>3.</t>
  </si>
  <si>
    <t>Osobní náklady celkem :</t>
  </si>
  <si>
    <t>2.</t>
  </si>
  <si>
    <t>1.</t>
  </si>
  <si>
    <t>Nákup materiálu celkem:</t>
  </si>
  <si>
    <t>Cestovné celkem :</t>
  </si>
  <si>
    <t>Služby (subdodávky) celkem:</t>
  </si>
  <si>
    <t>Investiční náklady</t>
  </si>
  <si>
    <t>IČ</t>
  </si>
  <si>
    <t>2.2</t>
  </si>
  <si>
    <t>Provoz služebního vozidla</t>
  </si>
  <si>
    <t>Projekt</t>
  </si>
  <si>
    <t>---</t>
  </si>
  <si>
    <t>Číslo Rozhodnutí:</t>
  </si>
  <si>
    <t>Název a adresa žadatele:</t>
  </si>
  <si>
    <t>IČ žadatele:</t>
  </si>
  <si>
    <t>Žádost o změnu procentního podílu dotace</t>
  </si>
  <si>
    <t>Výše dotace:</t>
  </si>
  <si>
    <t>Původní rozpočet projektu</t>
  </si>
  <si>
    <t>Nestátní zdroje:</t>
  </si>
  <si>
    <t>Celkový rozpočet</t>
  </si>
  <si>
    <t>% dotace</t>
  </si>
  <si>
    <t>Požadovaná změna</t>
  </si>
  <si>
    <t>Statutární zástupce:</t>
  </si>
  <si>
    <t>Číslo</t>
  </si>
  <si>
    <t>NSK</t>
  </si>
  <si>
    <t>PID</t>
  </si>
  <si>
    <t>Informace k formuláři:</t>
  </si>
  <si>
    <t>Žádost o změnu rozpočtu</t>
  </si>
  <si>
    <t>Prostřednictvím tohoto formuláře lze podat následující žádosti o změnu projektu:</t>
  </si>
  <si>
    <t>Jak postupovat?</t>
  </si>
  <si>
    <t>Oznamujeme změnu / žádáme o změnu rozpočtu</t>
  </si>
  <si>
    <t>K jednotlivým druhům změn:</t>
  </si>
  <si>
    <t>Vyplňte novou výši kofinancování a podrobné zdůvodnění</t>
  </si>
  <si>
    <t>Organizace</t>
  </si>
  <si>
    <t>Ulice</t>
  </si>
  <si>
    <t>Čp</t>
  </si>
  <si>
    <t>čo</t>
  </si>
  <si>
    <t>Dům</t>
  </si>
  <si>
    <t>PSČ</t>
  </si>
  <si>
    <t>Město</t>
  </si>
  <si>
    <t>Statutar titul před</t>
  </si>
  <si>
    <t>Statutar jméno</t>
  </si>
  <si>
    <t>Statutar titul za</t>
  </si>
  <si>
    <t>Statutár_celé</t>
  </si>
  <si>
    <t>email</t>
  </si>
  <si>
    <t>Spis</t>
  </si>
  <si>
    <t>Účet</t>
  </si>
  <si>
    <t>Celý účet</t>
  </si>
  <si>
    <t>Program</t>
  </si>
  <si>
    <t>Kompletní adr</t>
  </si>
  <si>
    <t xml:space="preserve">Účetní služby </t>
  </si>
  <si>
    <t>Konzultační, poradenské a právní služby</t>
  </si>
  <si>
    <t>Školitelé, tlumočníci, autoři textů, korektoři, překladatelé</t>
  </si>
  <si>
    <t>5</t>
  </si>
  <si>
    <t>Režijní náklady  (nájem, telefony, poštovné, úklid, energie)
max. 20% z rozpočtu dotace</t>
  </si>
  <si>
    <t xml:space="preserve">%  režijních nákladů žádáných z rozpočtu dotace </t>
  </si>
  <si>
    <t xml:space="preserve">Zaměstnanci - mzdové náklady zaměstnavatele včetně zákonných  odvodů </t>
  </si>
  <si>
    <t xml:space="preserve">Honoráře dlouhodobých externích pracovníků projektu 
</t>
  </si>
  <si>
    <t>Materiálové náklady (spotřební materiál atp.)</t>
  </si>
  <si>
    <t>Osobní náklady</t>
  </si>
  <si>
    <t>Materiál</t>
  </si>
  <si>
    <t>Služby</t>
  </si>
  <si>
    <t>Žádáme o změnu (zvýšení) procentního podílu dotace</t>
  </si>
  <si>
    <t>Žádost o změnu (zvýšení) procentního podílu dotace</t>
  </si>
  <si>
    <t>Podrobné zdůvodnění žádosti o navýšení podílu dotace</t>
  </si>
  <si>
    <t>Režie</t>
  </si>
  <si>
    <t>Vyhodnocení žádaných změn:</t>
  </si>
  <si>
    <t>Vyhodnocení formální správnosti formuláře:</t>
  </si>
  <si>
    <t>Původní a upravený rozpočet odpovídají</t>
  </si>
  <si>
    <t>Podíl režijních nákladů změněného rozpočtu do 20 %</t>
  </si>
  <si>
    <t>Všechny změny položek jsou zdůvodněné</t>
  </si>
  <si>
    <t>Žádáme o navýšení procentního podílu dotace</t>
  </si>
  <si>
    <t>IČ zapisujte bez mezer včetně předsazených nul</t>
  </si>
  <si>
    <t>Žádost o změnu závazných indikátorů projektu</t>
  </si>
  <si>
    <t>Žádáme o změnu závazných indikátorů projektu</t>
  </si>
  <si>
    <t>Navýšení procentního podílu dotace (jedná se vždy o podstatnou změnu)</t>
  </si>
  <si>
    <t>11</t>
  </si>
  <si>
    <t>12</t>
  </si>
  <si>
    <t>Propagace</t>
  </si>
  <si>
    <t>ks</t>
  </si>
  <si>
    <t>počet</t>
  </si>
  <si>
    <t>Dobrovolnické akce</t>
  </si>
  <si>
    <t>Newsletter</t>
  </si>
  <si>
    <t>Příspěvky na sociálních sítích</t>
  </si>
  <si>
    <t>ha</t>
  </si>
  <si>
    <t>Žádáme o změnu závazných projektových výstupů</t>
  </si>
  <si>
    <t>Indikátor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</si>
  <si>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</si>
  <si>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</si>
  <si>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</si>
  <si>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</si>
  <si>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</si>
  <si>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</si>
  <si>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</si>
  <si>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</si>
  <si>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</si>
  <si>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Zdůvodnění změny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</si>
  <si>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</si>
  <si>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</si>
  <si>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</si>
  <si>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</si>
  <si>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</si>
  <si>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</si>
  <si>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</si>
  <si>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</si>
  <si>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</si>
  <si>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</si>
  <si>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V</t>
  </si>
  <si>
    <t>dne</t>
  </si>
  <si>
    <t>Žádost o změnu závazných projektových výstupů</t>
  </si>
  <si>
    <t>Ve formuláři je možné požádat o změnu (snížení hodnot stávajících závazných výstupů projektu)</t>
  </si>
  <si>
    <t>Ve formuláři je možné dále navrhnout nové závazné výstupy projektu (např. jako náhradu výstupů původních)</t>
  </si>
  <si>
    <t>Změny závazných výstupů projektu (jedná se vždy o podstatnou změnu)</t>
  </si>
  <si>
    <t>Změnu výstupů projektu doporučujeme předem konzultovat.</t>
  </si>
  <si>
    <t>Změna struktury kofinancování nepodléhá ani žádosti ani oznámení</t>
  </si>
  <si>
    <t>Odborné / zpravodajské články</t>
  </si>
  <si>
    <t>Příspěvky publikované na sociálních sítích</t>
  </si>
  <si>
    <t>Zapojení dobrovolníků</t>
  </si>
  <si>
    <t>Akce pro širokou veřejnost</t>
  </si>
  <si>
    <t>Publikační výstupy</t>
  </si>
  <si>
    <t>Ekologické výukové programy</t>
  </si>
  <si>
    <t>Počet zapojených dobrovolníků</t>
  </si>
  <si>
    <t>Newslettery</t>
  </si>
  <si>
    <t>tuna</t>
  </si>
  <si>
    <t>Zapojení dobrovolníci</t>
  </si>
  <si>
    <t>Terénní exkurze</t>
  </si>
  <si>
    <t>osob</t>
  </si>
  <si>
    <t>Přiřazení k indikátoru programu</t>
  </si>
  <si>
    <t xml:space="preserve">Pro popsání dalších okolností žádosti či podrobnější zdůvodnění je prostor v posledním poli formuláře. Toto pole není povinné. </t>
  </si>
  <si>
    <t xml:space="preserve">Počet přímých provedených péčí o území / prací v terénu / monitoringů </t>
  </si>
  <si>
    <t xml:space="preserve">Počet vysazených / ošetřených stromů </t>
  </si>
  <si>
    <t xml:space="preserve">Počet odborných / zpravodajských článků </t>
  </si>
  <si>
    <t xml:space="preserve">Počet akcí pro odbornou / širokou veřejnost / specifické cílové skupiny </t>
  </si>
  <si>
    <t xml:space="preserve">Počet příspěvků publikovaných na sociálních sítích </t>
  </si>
  <si>
    <t xml:space="preserve">Počet poradenských případů, konzultací </t>
  </si>
  <si>
    <t xml:space="preserve">Počet ekologických výukových programů </t>
  </si>
  <si>
    <t xml:space="preserve">Počet publikačních výstupů </t>
  </si>
  <si>
    <t xml:space="preserve">Počet zapojených dobrovolníků </t>
  </si>
  <si>
    <t>Nová hodnota (pouze číslo)</t>
  </si>
  <si>
    <t>V jednom formuláři můžete podat všechny změny - podávané změny prosím specifikujte níže:</t>
  </si>
  <si>
    <t>Službycelk</t>
  </si>
  <si>
    <t>7celk</t>
  </si>
  <si>
    <t>5.</t>
  </si>
  <si>
    <t>Akce pro veřejnost</t>
  </si>
  <si>
    <t>Nové výukové programy</t>
  </si>
  <si>
    <t>Informační leták</t>
  </si>
  <si>
    <t>V jednotlivých formulářích vyplňujte vždy zeleně (resp. červeně) rastrovaná pole - ostatní pole mohou být zamčená</t>
  </si>
  <si>
    <t>Formulář vložte do zprávy Změna projektu do systému Grantys MŽP a zároveň  jej zašlete datovou schránkou.</t>
  </si>
  <si>
    <t>002</t>
  </si>
  <si>
    <t>007</t>
  </si>
  <si>
    <t>027</t>
  </si>
  <si>
    <t>042</t>
  </si>
  <si>
    <t>050</t>
  </si>
  <si>
    <t>060</t>
  </si>
  <si>
    <t>062</t>
  </si>
  <si>
    <t>070</t>
  </si>
  <si>
    <t>072</t>
  </si>
  <si>
    <t>097</t>
  </si>
  <si>
    <t>109</t>
  </si>
  <si>
    <t>001</t>
  </si>
  <si>
    <t>Číslo Rozhodnutí (vč. předsazených nul):</t>
  </si>
  <si>
    <t>PR služby</t>
  </si>
  <si>
    <t>Účetní služby</t>
  </si>
  <si>
    <t>3.2.</t>
  </si>
  <si>
    <t>4.1.</t>
  </si>
  <si>
    <t>4.2.</t>
  </si>
  <si>
    <t>5.1.</t>
  </si>
  <si>
    <t>5.2.</t>
  </si>
  <si>
    <t>5.3.</t>
  </si>
  <si>
    <t>5.4.</t>
  </si>
  <si>
    <t>5.5.</t>
  </si>
  <si>
    <t>5.6.</t>
  </si>
  <si>
    <t>5.7.</t>
  </si>
  <si>
    <t>5.8.</t>
  </si>
  <si>
    <t>Putovní výstava</t>
  </si>
  <si>
    <t>Soutěž</t>
  </si>
  <si>
    <t>t</t>
  </si>
  <si>
    <t>Webinář</t>
  </si>
  <si>
    <t>Odborné/zpravodajské články</t>
  </si>
  <si>
    <t>13</t>
  </si>
  <si>
    <t>14</t>
  </si>
  <si>
    <t>N11</t>
  </si>
  <si>
    <t>N12</t>
  </si>
  <si>
    <t>N13</t>
  </si>
  <si>
    <t>N14</t>
  </si>
  <si>
    <t>N15</t>
  </si>
  <si>
    <t>Formulář vložte do systému GRANTYS MŽP a současně jej zašlete datovou schránkou.</t>
  </si>
  <si>
    <t>Níže uvedený přehled slouží pouze pro informaci</t>
  </si>
  <si>
    <t>V případě, že se jedná o podstatnou změnu, vložte do zprávy Změna projektu do systému Grantys MŽP a zároveň  jej zašlete datovou schránkou.</t>
  </si>
  <si>
    <r>
      <t xml:space="preserve">IČ žadatele </t>
    </r>
    <r>
      <rPr>
        <sz val="12"/>
        <rFont val="Calibri"/>
        <family val="2"/>
        <charset val="238"/>
        <scheme val="minor"/>
      </rPr>
      <t>(vč. předsazených nul):</t>
    </r>
  </si>
  <si>
    <t>Procentní podíl dotace nesmí ani po změně přesáhnout 70 %</t>
  </si>
  <si>
    <t>Při odesílání souboru se žádostí  zachovejte formát souboru (Excel) a nepřevádějte formulář do jiných formátů (PDF).</t>
  </si>
  <si>
    <r>
      <t xml:space="preserve">Návrh nových závazných výstupů projektu je možné provést ve třetí tabulce - </t>
    </r>
    <r>
      <rPr>
        <b/>
        <sz val="11"/>
        <rFont val="Calibi"/>
        <charset val="238"/>
      </rPr>
      <t>Nově navrhované závazné výstupy projektu</t>
    </r>
    <r>
      <rPr>
        <sz val="11"/>
        <rFont val="Calibi"/>
        <charset val="238"/>
      </rPr>
      <t>. Zde uveďte všechny potřebné údaje o nově navrhovaných výstupech. Pokud nové závazné výstupy projektu nenavrhujete, ponechejte tabulku prázdnou. Nově navrhované indikátory přiřaďte k indikátorům programu.</t>
    </r>
  </si>
  <si>
    <t>Hodnota v Rozhodnutí</t>
  </si>
  <si>
    <t>3.3.</t>
  </si>
  <si>
    <t>Drobný dlouhodobý majetek celkem:</t>
  </si>
  <si>
    <t>4.</t>
  </si>
  <si>
    <t xml:space="preserve">Údržba a aktual.  webových stránek, zpracování dat </t>
  </si>
  <si>
    <t>5.9.</t>
  </si>
  <si>
    <t>5.10.</t>
  </si>
  <si>
    <t>5.11.</t>
  </si>
  <si>
    <t>5.12.</t>
  </si>
  <si>
    <t>5.13.</t>
  </si>
  <si>
    <t>5.14.</t>
  </si>
  <si>
    <t>5.15.</t>
  </si>
  <si>
    <t>Mezisoučet kapitoly 1-5</t>
  </si>
  <si>
    <t>Jednotka</t>
  </si>
  <si>
    <t>Podprogram</t>
  </si>
  <si>
    <t>A</t>
  </si>
  <si>
    <t>PPG</t>
  </si>
  <si>
    <t>012</t>
  </si>
  <si>
    <t>014</t>
  </si>
  <si>
    <t>019</t>
  </si>
  <si>
    <t>032</t>
  </si>
  <si>
    <t>053</t>
  </si>
  <si>
    <t>057</t>
  </si>
  <si>
    <t>058</t>
  </si>
  <si>
    <t>063</t>
  </si>
  <si>
    <t>071</t>
  </si>
  <si>
    <t>078</t>
  </si>
  <si>
    <t>084</t>
  </si>
  <si>
    <t>089</t>
  </si>
  <si>
    <t>095</t>
  </si>
  <si>
    <t>104</t>
  </si>
  <si>
    <t>118</t>
  </si>
  <si>
    <t>B</t>
  </si>
  <si>
    <t>C</t>
  </si>
  <si>
    <t>ZO ČSOP VERONICA</t>
  </si>
  <si>
    <t>04759583</t>
  </si>
  <si>
    <t>00103764</t>
  </si>
  <si>
    <t>00116670</t>
  </si>
  <si>
    <t>00408328</t>
  </si>
  <si>
    <t>02586894</t>
  </si>
  <si>
    <t>Seifertova 237/85, Praha, Žižkov, 13000</t>
  </si>
  <si>
    <t>Vnější 1392, Liberec, Vratislavice nad Nisou, 46311</t>
  </si>
  <si>
    <t>Na bělidle 252/34, Praha, Smíchov, 15000</t>
  </si>
  <si>
    <t>Michelská 48/5, Praha, Braník, 14000</t>
  </si>
  <si>
    <t>Horská 175, Horní Maršov, Horní Maršov, 54226</t>
  </si>
  <si>
    <t>Haštalská 756/17, Praha, Staré Město, 11000</t>
  </si>
  <si>
    <t>4, Hostětín, Hostětín, 68771</t>
  </si>
  <si>
    <t>Panská 363/9, Brno, Brno-město, 60200</t>
  </si>
  <si>
    <t>Lenka Petrlíková Mašková</t>
  </si>
  <si>
    <t>Jitka Jakubičková</t>
  </si>
  <si>
    <t>Dana Kalistová</t>
  </si>
  <si>
    <t>Zdeněk Vermouzek</t>
  </si>
  <si>
    <t>Karel Kříž</t>
  </si>
  <si>
    <t>Jan Korytář</t>
  </si>
  <si>
    <t>Eva Zatloukalová</t>
  </si>
  <si>
    <t>Tomáš Hodek</t>
  </si>
  <si>
    <t>Pavel Mohrmann</t>
  </si>
  <si>
    <t>Tomáš Duda</t>
  </si>
  <si>
    <t>Ladislav Haidl</t>
  </si>
  <si>
    <t>Michal Kulík</t>
  </si>
  <si>
    <t>Petra Syrová</t>
  </si>
  <si>
    <t>Milan Maršálek</t>
  </si>
  <si>
    <t>Jiří Kulich</t>
  </si>
  <si>
    <t>Zdeněk Ševčík</t>
  </si>
  <si>
    <t>Yvonna Gaillyová</t>
  </si>
  <si>
    <t>Petra Kolínská</t>
  </si>
  <si>
    <t>Dílna Zauhlovačky s Re-use centrem nábytku</t>
  </si>
  <si>
    <t>Osvěta a EVVO v rámci Dunajského umělce</t>
  </si>
  <si>
    <t>1-1 Osobní</t>
  </si>
  <si>
    <t>1-2 Osobní</t>
  </si>
  <si>
    <t>1-Celkem</t>
  </si>
  <si>
    <t>2-1 cestovné-CES</t>
  </si>
  <si>
    <t>2-1 cestovné-OA</t>
  </si>
  <si>
    <t>2-1 cestovné-celk</t>
  </si>
  <si>
    <t>3-1 mat</t>
  </si>
  <si>
    <t>3-2 matt</t>
  </si>
  <si>
    <t>3-2 matk</t>
  </si>
  <si>
    <t>3-3 matt</t>
  </si>
  <si>
    <t>3-3 matk</t>
  </si>
  <si>
    <t>3-Mat-celk</t>
  </si>
  <si>
    <t>4-1 DDHMt</t>
  </si>
  <si>
    <t>4-1 DDHMk</t>
  </si>
  <si>
    <t>4-2 DDHMt</t>
  </si>
  <si>
    <t>4-2 DDHMk</t>
  </si>
  <si>
    <t>4-celk</t>
  </si>
  <si>
    <t>Údržba a aktualizace webových stránek, zpracování dat</t>
  </si>
  <si>
    <t>Grafické práce, předtisková úprava</t>
  </si>
  <si>
    <t>Tisk</t>
  </si>
  <si>
    <t>Distribuce</t>
  </si>
  <si>
    <t>Pronájem prostor a techniky</t>
  </si>
  <si>
    <t>ost1-t</t>
  </si>
  <si>
    <t>ost1-k</t>
  </si>
  <si>
    <t>ost2-t</t>
  </si>
  <si>
    <t>ost2-k</t>
  </si>
  <si>
    <t>ost3-t</t>
  </si>
  <si>
    <t>ost3-k</t>
  </si>
  <si>
    <t>ost4-t</t>
  </si>
  <si>
    <t>ost4-k</t>
  </si>
  <si>
    <t>ost5-t</t>
  </si>
  <si>
    <t>ost5-k</t>
  </si>
  <si>
    <t>ost6-t</t>
  </si>
  <si>
    <t>ost6-k</t>
  </si>
  <si>
    <t>ost7-t</t>
  </si>
  <si>
    <t>ost7-k</t>
  </si>
  <si>
    <t>Rezie</t>
  </si>
  <si>
    <t>--</t>
  </si>
  <si>
    <t>Práce tiskového mluvčího</t>
  </si>
  <si>
    <t>Evaluace projektu</t>
  </si>
  <si>
    <t>Roubování stromů</t>
  </si>
  <si>
    <t>Seč kosou</t>
  </si>
  <si>
    <t>Kutí kos</t>
  </si>
  <si>
    <t>Subdodávky - Péče o stromy Prace</t>
  </si>
  <si>
    <t>Subdodávky - Péče o Meruňkový sad</t>
  </si>
  <si>
    <t>Subdodávky - Péče o Hruškové stromořadí</t>
  </si>
  <si>
    <t>Subdodávky - Péče o Obecní sad</t>
  </si>
  <si>
    <t>Subdodávky - Péče o Krajinotrvorný sad</t>
  </si>
  <si>
    <t>Tvorba videí</t>
  </si>
  <si>
    <t>v pořádku</t>
  </si>
  <si>
    <r>
      <t xml:space="preserve">Zdůvodnění  změny
</t>
    </r>
    <r>
      <rPr>
        <b/>
        <i/>
        <sz val="12"/>
        <color rgb="FFFF0000"/>
        <rFont val="Calibri"/>
        <family val="2"/>
        <charset val="238"/>
        <scheme val="minor"/>
      </rPr>
      <t>(v případě, že chcete přidat položku v kapitolách 3, 4 a 5, napište do zdůvodnění i její popis)</t>
    </r>
  </si>
  <si>
    <t>Změny rozpočtu dotace (první žádost o změnu - nebylo vydáno Změnové rozhodnutí):</t>
  </si>
  <si>
    <t>NE</t>
  </si>
  <si>
    <t>V buňce E23 - pořadové číslo žádosti ponechte předvyplněnou hodnotu NE</t>
  </si>
  <si>
    <t xml:space="preserve">Pokud již máte vydané změnové rozhodnutí a žádáte o další změnu, vyberte ANO. </t>
  </si>
  <si>
    <t>Na listu Žádosti o změnu rozpočtu vyplňte ve sloupci K také aktuální verzi rozpočtu z posledního změnového rozhodnutí</t>
  </si>
  <si>
    <r>
      <t xml:space="preserve">Do zelených polí ve sloupci D vyplňte kompletní nový rozpočet </t>
    </r>
    <r>
      <rPr>
        <b/>
        <sz val="11"/>
        <rFont val="Calibri"/>
        <family val="2"/>
        <charset val="238"/>
        <scheme val="minor"/>
      </rPr>
      <t>dotace</t>
    </r>
    <r>
      <rPr>
        <sz val="11"/>
        <rFont val="Calibri"/>
        <family val="2"/>
        <charset val="238"/>
        <scheme val="minor"/>
      </rPr>
      <t xml:space="preserve"> ve smyslu změn</t>
    </r>
  </si>
  <si>
    <t>U položek, kde došlo ke změně, uveďte stručně důvod, proč žádáte o změnu</t>
  </si>
  <si>
    <t>Žádost o změnu rozpočtu, pokud máte změnové rozhodnutí:</t>
  </si>
  <si>
    <t>Bylo již vydáno změnové rozhodnutí?</t>
  </si>
  <si>
    <t>kof</t>
  </si>
  <si>
    <t>i1naz</t>
  </si>
  <si>
    <t>I1mj</t>
  </si>
  <si>
    <t>i1poc</t>
  </si>
  <si>
    <t>i1prg</t>
  </si>
  <si>
    <t>i2naz</t>
  </si>
  <si>
    <t>i2mj</t>
  </si>
  <si>
    <t>i2poc</t>
  </si>
  <si>
    <t>i2prg</t>
  </si>
  <si>
    <t>i3naz</t>
  </si>
  <si>
    <t>i3mj</t>
  </si>
  <si>
    <t>i3poc</t>
  </si>
  <si>
    <t>i3prg</t>
  </si>
  <si>
    <t>i4naz</t>
  </si>
  <si>
    <t>i4mj</t>
  </si>
  <si>
    <t>i4poc</t>
  </si>
  <si>
    <t>i4prg</t>
  </si>
  <si>
    <t>i5naz</t>
  </si>
  <si>
    <t>i5mj</t>
  </si>
  <si>
    <t>i5poc</t>
  </si>
  <si>
    <t>i5prg</t>
  </si>
  <si>
    <t>i6naz</t>
  </si>
  <si>
    <t>i6mj</t>
  </si>
  <si>
    <t>i6poc</t>
  </si>
  <si>
    <t>i6prg</t>
  </si>
  <si>
    <t>i7naz</t>
  </si>
  <si>
    <t>i7mj</t>
  </si>
  <si>
    <t>i7poc</t>
  </si>
  <si>
    <t>i7prg</t>
  </si>
  <si>
    <t>i8naz</t>
  </si>
  <si>
    <t>i8mj</t>
  </si>
  <si>
    <t>i8poc</t>
  </si>
  <si>
    <t>i8prg</t>
  </si>
  <si>
    <t>i9naz</t>
  </si>
  <si>
    <t>i9mj</t>
  </si>
  <si>
    <t>i9poc</t>
  </si>
  <si>
    <t>i9prg</t>
  </si>
  <si>
    <t>i10naz</t>
  </si>
  <si>
    <t>i10mj</t>
  </si>
  <si>
    <t>i10poc</t>
  </si>
  <si>
    <t>i10prg</t>
  </si>
  <si>
    <t>i11naz</t>
  </si>
  <si>
    <t>i11mj</t>
  </si>
  <si>
    <t>i11poc</t>
  </si>
  <si>
    <t>i11prg</t>
  </si>
  <si>
    <t>i12naz</t>
  </si>
  <si>
    <t>i12mj</t>
  </si>
  <si>
    <t>i12poc</t>
  </si>
  <si>
    <t>i12prg</t>
  </si>
  <si>
    <t>i13naz</t>
  </si>
  <si>
    <t>i13mj</t>
  </si>
  <si>
    <t>i13poc</t>
  </si>
  <si>
    <t>i13prg</t>
  </si>
  <si>
    <t>i14naz</t>
  </si>
  <si>
    <t>i14mj</t>
  </si>
  <si>
    <t>i14poc</t>
  </si>
  <si>
    <t>i14prg</t>
  </si>
  <si>
    <t>i15naz</t>
  </si>
  <si>
    <t>i15mj</t>
  </si>
  <si>
    <t>i15poc</t>
  </si>
  <si>
    <t>i15prg</t>
  </si>
  <si>
    <t>i16naz</t>
  </si>
  <si>
    <t>i16mj</t>
  </si>
  <si>
    <t>i16poc</t>
  </si>
  <si>
    <t>i16prg</t>
  </si>
  <si>
    <t>i17naz</t>
  </si>
  <si>
    <t>i17mj</t>
  </si>
  <si>
    <t>i17poc</t>
  </si>
  <si>
    <t>i17prg</t>
  </si>
  <si>
    <t>i18naz</t>
  </si>
  <si>
    <t>i18mj</t>
  </si>
  <si>
    <t>i18poc</t>
  </si>
  <si>
    <t>i18prg</t>
  </si>
  <si>
    <t>Akce pro odbornou / širokou veřejnost / specifické cílové skupiny/participativní akce</t>
  </si>
  <si>
    <t>Dosah akcí pro odbornou / širokou veřejnost / specifické cílové skupiny / participativní akce</t>
  </si>
  <si>
    <t>objektů</t>
  </si>
  <si>
    <t>Počet přímých provedených péčí o území / prací v terénu - bodová opatření</t>
  </si>
  <si>
    <t>náklad/zhlédnutí</t>
  </si>
  <si>
    <t xml:space="preserve">Dosah publikačních výstupů </t>
  </si>
  <si>
    <t>Dopad ekologických výukových programů</t>
  </si>
  <si>
    <t xml:space="preserve">Plocha území přímých provedených péčí o území / prací v terénu - plošná opatření </t>
  </si>
  <si>
    <t>Monitoring biodiverzity - plošný monitoring</t>
  </si>
  <si>
    <t>Zpravodajské články</t>
  </si>
  <si>
    <t>Vysazené / ošetřené stromy nebo keře</t>
  </si>
  <si>
    <t>Poradenské případy a konzultace</t>
  </si>
  <si>
    <t>Informační cedule</t>
  </si>
  <si>
    <t>Videomateriál</t>
  </si>
  <si>
    <t>Sociální sítě</t>
  </si>
  <si>
    <t>Počet účastníků webinářů</t>
  </si>
  <si>
    <t>Dosah akcí pro širokou veřejnost</t>
  </si>
  <si>
    <t>Množství znovuvyužitého odpadu</t>
  </si>
  <si>
    <t>Množství zlikvidovaného / recyklovaného / znovuvyužitého odpadu</t>
  </si>
  <si>
    <t>Náklad letáků</t>
  </si>
  <si>
    <t>Monitoring biodiverzity - bodové objekty</t>
  </si>
  <si>
    <t>Úklidové akce</t>
  </si>
  <si>
    <t>Příspěvky na webových stránkách</t>
  </si>
  <si>
    <t>terénní programy pro aktivní seniory</t>
  </si>
  <si>
    <t>Sledovanost podcastů</t>
  </si>
  <si>
    <t>vytvoření ankety</t>
  </si>
  <si>
    <t>Náklad tištěného letáku</t>
  </si>
  <si>
    <t>Návštěvníků výstavy</t>
  </si>
  <si>
    <t>facebookové události a posty</t>
  </si>
  <si>
    <t>Příspěvky na soc. sítích</t>
  </si>
  <si>
    <t>Dosah videa</t>
  </si>
  <si>
    <t>Péče o studánky a jejich okolí</t>
  </si>
  <si>
    <t>Dosah akcí pro širokou veřejnost - počet účastníků</t>
  </si>
  <si>
    <t>Leták (publikační výstup)</t>
  </si>
  <si>
    <t>Dosah letáku (náklad)</t>
  </si>
  <si>
    <t>Kapesní kalendář (publikační výstup)</t>
  </si>
  <si>
    <t>Dosah kapesního kalendáře (náklad)</t>
  </si>
  <si>
    <t>Specializovaná databáze (elektronický publikační výstup)</t>
  </si>
  <si>
    <t>Dosah databáze (návštěvnost webu)</t>
  </si>
  <si>
    <t>Letáky</t>
  </si>
  <si>
    <t>Dosah letáků</t>
  </si>
  <si>
    <t>Informační kampaň</t>
  </si>
  <si>
    <t>Školení lektorů</t>
  </si>
  <si>
    <t>Školení pro pedagogy a lektory</t>
  </si>
  <si>
    <t>Monitoring biodiverzity</t>
  </si>
  <si>
    <t>Přednáška v rámci Mezinárodního dne bobrů</t>
  </si>
  <si>
    <t>Přednáška v rámci Mezinárodního dne bobrů - účastníci</t>
  </si>
  <si>
    <t>Putovní výstava - návštěvníci</t>
  </si>
  <si>
    <t xml:space="preserve">Vycházky za bobřími hrázemi
</t>
  </si>
  <si>
    <t>Účastníci vycházek</t>
  </si>
  <si>
    <t>Hra v paraZOO</t>
  </si>
  <si>
    <t>Účastníci hry</t>
  </si>
  <si>
    <t>Přednášky na školách</t>
  </si>
  <si>
    <t>Účastníci přednášek</t>
  </si>
  <si>
    <t>Akce pro odbornou / širokou veřejnost / specifické cílové skupiny/participativní akce</t>
  </si>
  <si>
    <t>Nově akreditované pozemkové spolky; reakreditované pozemkové spolky</t>
  </si>
  <si>
    <t>Rozšíření plochy pozemkových spolků</t>
  </si>
  <si>
    <t>Dosah školení</t>
  </si>
  <si>
    <t>Sloupec1</t>
  </si>
  <si>
    <t>Sloupec2</t>
  </si>
  <si>
    <t>Sloupec3</t>
  </si>
  <si>
    <t>Sloupec4</t>
  </si>
  <si>
    <t>15</t>
  </si>
  <si>
    <t>16</t>
  </si>
  <si>
    <t>17</t>
  </si>
  <si>
    <t>18</t>
  </si>
  <si>
    <t>Komentáře, podrobnější zdůvodnění (uveďte proč je třeba indikátory změnit a jaký dopad bude mít změna na naplnění cílů projektu)</t>
  </si>
  <si>
    <t xml:space="preserve">1-Plocha území přímých provedených péčí o území / prací v terénu - plošná opatření </t>
  </si>
  <si>
    <t>2-Počet přímých provedených péčí o území / prací v terénu - bodová opatření</t>
  </si>
  <si>
    <t xml:space="preserve">počet </t>
  </si>
  <si>
    <t>3-Monitoring biodiverzity - plošný monitoring</t>
  </si>
  <si>
    <t>4-Monitoring biodiverzity - bodové objekty</t>
  </si>
  <si>
    <t>5-Vysazené / ošetřené stromy nebo keře</t>
  </si>
  <si>
    <t>6-Odborné / zpravodajské články</t>
  </si>
  <si>
    <t>7a-Akce pro odbornou / širokou veřejnost / specifické cílové skupiny/participativní akce</t>
  </si>
  <si>
    <t>7b-Dosah akcí pro odbornou / širokou veřejnost / specifické cílové  skupiny/participativní akce</t>
  </si>
  <si>
    <t>Dosah akcí pro odbornou / širokou veřejnost / specifické cílové  skupiny/participativní akce</t>
  </si>
  <si>
    <t>účastníků</t>
  </si>
  <si>
    <t>8-Příspěvky publikované na sociálních sítích</t>
  </si>
  <si>
    <t>9-Poradenské případy a konzultace</t>
  </si>
  <si>
    <t>10a-Ekologické výukové programy</t>
  </si>
  <si>
    <t>10b-Dopad ekologických výukových programů</t>
  </si>
  <si>
    <t>11a-Publikační výstupy</t>
  </si>
  <si>
    <t>11b-Dopad publikačních výstupů</t>
  </si>
  <si>
    <t>Dopad publikačních výstupů</t>
  </si>
  <si>
    <t>náklad/počet stažení</t>
  </si>
  <si>
    <t>12-Množství zlikvidovaného / recyklovaného / znovuvyužitého odpadu</t>
  </si>
  <si>
    <t>13-Počet zapojených dobrovolníků</t>
  </si>
  <si>
    <t>14-Nově akreditované pozemkové spolky; reakreditované pozemkové spolky</t>
  </si>
  <si>
    <t>15-Rozšíření plochy pozemkových spolků</t>
  </si>
  <si>
    <t>Každý z nově navrhovaných indikátorů musí být přiřazen k indikátoru programu a dodržena komplementarita indikátorů - viz příručka pro žadatele)</t>
  </si>
  <si>
    <t xml:space="preserve">Nejprve vyplňte na tomto listu Podprogram,  číslo Rozhodnutí a IČ organizace - do formuláře se načtou data o příslušném projektu. </t>
  </si>
  <si>
    <t>6.</t>
  </si>
  <si>
    <t>----</t>
  </si>
  <si>
    <r>
      <t xml:space="preserve">Jak vyplnit žádost o změnu indikátorů
</t>
    </r>
    <r>
      <rPr>
        <sz val="10"/>
        <color rgb="FFFF0000"/>
        <rFont val="Calibri"/>
        <family val="2"/>
        <charset val="238"/>
        <scheme val="minor"/>
      </rPr>
      <t xml:space="preserve">Do zelených polí v tabulce níže vyplňte kompletní přehled indikátorů ve smyslu vámi požadované změny. Pokud žádáte vypuštění některého z indikátorů, uveďte jako novou hodnotu nulu. Každou změnu zdůvodněte. Hodnotu indikátorů vyčíslujte v jednotkách, které jsou uvedeny. Změny každého indikátoru stručně zdůvodněte. </t>
    </r>
    <r>
      <rPr>
        <b/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 xml:space="preserve">
Pokud navrhujete zařazení nových indikátorů, které nebyly v měněném Rozhodnutí uvedeny (např. jako náhradu indikátorů, které požadujete vypustit), lze tak na řádcích 35 - 49. Ke každému novému indikátoru vyberte ve sloupci F přiřazení k indikátoru programu a vyčíslete jej v jednotkách, které se po výběru přiřazení zobrazí. </t>
    </r>
    <r>
      <rPr>
        <b/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b/>
        <sz val="10"/>
        <color rgb="FFFF0000"/>
        <rFont val="Calibri"/>
        <family val="2"/>
        <charset val="238"/>
        <scheme val="minor"/>
      </rPr>
      <t>Dodržujte komplementaritu indikátorů</t>
    </r>
    <r>
      <rPr>
        <sz val="10"/>
        <color rgb="FFFF0000"/>
        <rFont val="Calibri"/>
        <family val="2"/>
        <charset val="238"/>
        <scheme val="minor"/>
      </rPr>
      <t xml:space="preserve"> (podrobněji viz příručka) - </t>
    </r>
    <r>
      <rPr>
        <i/>
        <sz val="10"/>
        <color rgb="FFFF0000"/>
        <rFont val="Calibri"/>
        <family val="2"/>
        <charset val="238"/>
        <scheme val="minor"/>
      </rPr>
      <t>například k indikátoru počet akcí (10a) musí být uveden i  indikátor počet účastníků (10b). Komplementární indikátory mají vždy v kódu uvedeno písmeno (a - počet; b - dopad)</t>
    </r>
    <r>
      <rPr>
        <sz val="10"/>
        <color rgb="FFFF0000"/>
        <rFont val="Calibri"/>
        <family val="2"/>
        <charset val="238"/>
        <scheme val="minor"/>
      </rPr>
      <t xml:space="preserve">.
</t>
    </r>
    <r>
      <rPr>
        <b/>
        <sz val="10"/>
        <color rgb="FFFF0000"/>
        <rFont val="Calibri"/>
        <family val="2"/>
        <charset val="238"/>
        <scheme val="minor"/>
      </rPr>
      <t xml:space="preserve">
V závěrečném komentáři uveďte celkové důvody pro požadovanou změnu a dopad změny na dosažení plánovaných cílů projektu.</t>
    </r>
  </si>
  <si>
    <t>Provádění změn v projektech Programu pro NNO 2025</t>
  </si>
  <si>
    <t>O provedení podstatných změn je možné žádat nejpozději do 1. 12. 2025 (datum prokazatelného odeslání žádosti).</t>
  </si>
  <si>
    <t>003</t>
  </si>
  <si>
    <t>005</t>
  </si>
  <si>
    <t>004</t>
  </si>
  <si>
    <t>013</t>
  </si>
  <si>
    <t>017</t>
  </si>
  <si>
    <t>023</t>
  </si>
  <si>
    <t>025</t>
  </si>
  <si>
    <t>026</t>
  </si>
  <si>
    <t>039</t>
  </si>
  <si>
    <t>044</t>
  </si>
  <si>
    <t>045</t>
  </si>
  <si>
    <t>048</t>
  </si>
  <si>
    <t>049</t>
  </si>
  <si>
    <t>052</t>
  </si>
  <si>
    <t>074</t>
  </si>
  <si>
    <t>080</t>
  </si>
  <si>
    <t>081</t>
  </si>
  <si>
    <t>082</t>
  </si>
  <si>
    <t>091</t>
  </si>
  <si>
    <t>092</t>
  </si>
  <si>
    <t>102</t>
  </si>
  <si>
    <t>106</t>
  </si>
  <si>
    <t>108</t>
  </si>
  <si>
    <t>110</t>
  </si>
  <si>
    <t>112</t>
  </si>
  <si>
    <t>119</t>
  </si>
  <si>
    <t>125</t>
  </si>
  <si>
    <t>126</t>
  </si>
  <si>
    <t>"Starý nábytek - nový začátek"</t>
  </si>
  <si>
    <t>Prevence vzniku odpadu začíná doma</t>
  </si>
  <si>
    <t>Šetrné lesní hospodaření pro zdravou krajinu</t>
  </si>
  <si>
    <t>"Komunikujeme"</t>
  </si>
  <si>
    <t>"Odpady – život ve stylu Zero Waste"</t>
  </si>
  <si>
    <t>Osvěta a EVVO v rámci Národního kola Zlatého listu</t>
  </si>
  <si>
    <t>Pěšky do školy po celý rok</t>
  </si>
  <si>
    <t>Mezigenerační poznávání přírody</t>
  </si>
  <si>
    <t>Voda, sucho a povodně  v krajině Hané</t>
  </si>
  <si>
    <t>Managementová podpora a monitoring hnízdní populace sovy pálené v urbanizovaných a zemědělských biotopech Olomouckého kraje.</t>
  </si>
  <si>
    <t>Do ptačích parků za poznáním</t>
  </si>
  <si>
    <t>Cirkulární třída: Jak na reuse ve vzdělávání dětí</t>
  </si>
  <si>
    <t>Spojenci přírody: učením venku k hlubšímu spojení se sebou, druhými, přírodou</t>
  </si>
  <si>
    <t>Komunitní plánovací kancelář MAS Pomalší</t>
  </si>
  <si>
    <t>Oživme Letňany komunitním farmařením</t>
  </si>
  <si>
    <t>Jak správně rozumět dopadům cirkulární ekonomiky</t>
  </si>
  <si>
    <t>Výuka a osvěta prostřednictvím komiksu - Život ve vodě a a jeho ohrožení</t>
  </si>
  <si>
    <t>Obnova krajiny sadů a alejí</t>
  </si>
  <si>
    <t>Příroda jako učitel: Eko Artefiletické projekty EVVO s dětmi a síťování odborníků</t>
  </si>
  <si>
    <t>Lišácké učení</t>
  </si>
  <si>
    <t>Dobrovolnictví mládeže v péči o přírodu a krajinu</t>
  </si>
  <si>
    <t>Ukliďme svět 2025</t>
  </si>
  <si>
    <t>Monitoring ptáků a zhodnocení jejich ohrožení invazními savci v ptačích parcích ČSO</t>
  </si>
  <si>
    <t>Ze-mě do země ZŠ 2025</t>
  </si>
  <si>
    <t>Zvýšení retenční kapacity a přírodní hodnoty oázy u Čehovic</t>
  </si>
  <si>
    <t>Půda – bohatství, po kterém šlapeme aneb Jak pečovat o půdu (nejen) na školní zahradě</t>
  </si>
  <si>
    <t>Udržitelný rozvoj krajiny na serveru Ekolist.cz</t>
  </si>
  <si>
    <t>Brod a letní škola: průniky environmentální výchovy a kritické pedagogiky</t>
  </si>
  <si>
    <t>Managementová podpora a monitoring hnízdní populace sýčka obecného v urbanizovaných a zemědělských biotopech Jihomoravského kraje.</t>
  </si>
  <si>
    <t>Označ hnízdo, zachraň čejku!</t>
  </si>
  <si>
    <t>Místo pro divočinu II</t>
  </si>
  <si>
    <t>Podpora biodiverzity lučních biotopů v roce 2025</t>
  </si>
  <si>
    <t>Neplýtvám, tvořím!</t>
  </si>
  <si>
    <t>Podpora dobrovolnictví a přeshraniční spolupráce Česko – Sasko</t>
  </si>
  <si>
    <t>Pro pestrou a odolnou krajinu</t>
  </si>
  <si>
    <t>Uhlíková stopa školy: od výpočtu k odpovědné spotřebě vzdělávací instituce</t>
  </si>
  <si>
    <t>Vzpomínky průkopníků ochrany životního prostředí po roce 1989</t>
  </si>
  <si>
    <t>Nenechme se zavalit</t>
  </si>
  <si>
    <t>Poradenství pro obce v oblasti adaptace na změnu klimatu</t>
  </si>
  <si>
    <t>Studánka v roce 2025? Ano, studánka!</t>
  </si>
  <si>
    <t>Tajuplný život ve větvích aneb stromová civilizace</t>
  </si>
  <si>
    <t>Učíme se o zemědělství adaptovaném na změnu klimatu II</t>
  </si>
  <si>
    <t>Badatelství pro Pardubický kraj</t>
  </si>
  <si>
    <t>Odpady kolem nás aneb chraňme naši krajinu</t>
  </si>
  <si>
    <t>Odpady pod lupou - podpora moravských obcí v analýze odpadového hospodářství a snižování směsných komunálních odpadů</t>
  </si>
  <si>
    <t>Zlepšení odborných kapacit provozovatelů reuse center</t>
  </si>
  <si>
    <t>Územní plánování – nástroj pro řešení klimatických výzev</t>
  </si>
  <si>
    <t>Cirkulární akademie v regionech</t>
  </si>
  <si>
    <t>PŘÍRODA+POHYB+UČENÍ = ideální program pro předškoláky</t>
  </si>
  <si>
    <t>Modelová přeměna smrkové monokultury na přírodě blízký les v EVL Vápenice-Basa</t>
  </si>
  <si>
    <t>PORTÁLY DO PŘÍRODY, jak z mladých youtuberů udělat průvodce přírodou</t>
  </si>
  <si>
    <t>Mokřady Jablonné a Česká Ves jako laboratoř biodiverzity 2025</t>
  </si>
  <si>
    <t>05284171</t>
  </si>
  <si>
    <t>02572079</t>
  </si>
  <si>
    <t>Jivina 69,  Jivina, 26762</t>
  </si>
  <si>
    <t>Seifertova 327/85, Praha, Žižkov, 13000</t>
  </si>
  <si>
    <t>Kounicova 299/42, Brno, Trnitá , 60200</t>
  </si>
  <si>
    <t>Jivina 69, Jivina, 26762</t>
  </si>
  <si>
    <t>Za Klokokočkou 353, Odolena Voda, 25070</t>
  </si>
  <si>
    <t>Muchova 232/13, Praha, Bubeneč, 16000</t>
  </si>
  <si>
    <t>Husovo nám. 2299/67, Prostějov, Krasice , 79601</t>
  </si>
  <si>
    <t>Nenakonice 500, Věrovany, Nenakonice, 78375</t>
  </si>
  <si>
    <t>Na bělidle 252/34, Praha, Smíchov , 15000</t>
  </si>
  <si>
    <t>Ruská 460/18, Praha, Vršovice , 10100</t>
  </si>
  <si>
    <t>Družstevní 596, Velešín, Velešín, 38232</t>
  </si>
  <si>
    <t>Jiskrova 517/4, Praha, Braník , 14700</t>
  </si>
  <si>
    <t>Seifertova 327/85, Praha, Žižkov , 13000</t>
  </si>
  <si>
    <t>Michelská 48/5, Praha, Braník , 14000</t>
  </si>
  <si>
    <t>Cejl 460/35, Brno, 60200</t>
  </si>
  <si>
    <t>28. října 564/8, Děčín, Bechlejovice, 40502</t>
  </si>
  <si>
    <t>Šlikova 1220/47, Praha, Břevnov , 16900</t>
  </si>
  <si>
    <t>V Podbabě 2602/29b, Praha, Dejvice , 16000</t>
  </si>
  <si>
    <t>Seifertova 237/85, Praha, Žižkov , 13000</t>
  </si>
  <si>
    <t>Letohradská 669/17, Praha, Bubeneč (Praha 7), 17000</t>
  </si>
  <si>
    <t>Švermova 32/35, Liberec, Karlinky , 46010</t>
  </si>
  <si>
    <t>Štolbova 2874, Pardubice, Zelené Předměstí (Pardubice I), 53002</t>
  </si>
  <si>
    <t>Oldřichova 517/33, Praha, Nusle , 12800</t>
  </si>
  <si>
    <t>Lublaňská 398/18, Praha, Nové Město , 12000</t>
  </si>
  <si>
    <t>Švermova 32/35, Liberec, Františkov , 46010</t>
  </si>
  <si>
    <t>Dittrichova 337/9, Praha, Nové Město , 12000</t>
  </si>
  <si>
    <t>Na břehu 766/27, Praha, Hloubětín , 19000</t>
  </si>
  <si>
    <t>Údolní 567/33, Brno, Brno-město, 60200</t>
  </si>
  <si>
    <t>Zavadilka 2139, České Budějovice, České Budějovice , 37005</t>
  </si>
  <si>
    <t>Marcela Kupková</t>
  </si>
  <si>
    <t>Jindřich Petrlík</t>
  </si>
  <si>
    <t>Karel Poprach</t>
  </si>
  <si>
    <t>Tereza Korbelová</t>
  </si>
  <si>
    <t>Eva Malířová</t>
  </si>
  <si>
    <t>Eva Tarabová</t>
  </si>
  <si>
    <t>Štěpán Říha</t>
  </si>
  <si>
    <t>Alena Konečná</t>
  </si>
  <si>
    <t>Adam Kyprý</t>
  </si>
  <si>
    <t>Tereza Valkounová</t>
  </si>
  <si>
    <t>Pavel Činčera</t>
  </si>
  <si>
    <t>Martin Skalský</t>
  </si>
  <si>
    <t>Míkovec, Miroslav</t>
  </si>
  <si>
    <t>Petr Pavelčík</t>
  </si>
  <si>
    <t>Jan Valeška</t>
  </si>
  <si>
    <t>Anna Uhnák Kárník</t>
  </si>
  <si>
    <t>Barbora Semeráková</t>
  </si>
  <si>
    <t>Ostatní služby</t>
  </si>
  <si>
    <t>Tvorba příspěvků na sociální sítě</t>
  </si>
  <si>
    <t>Lektoři na workshop a webinář</t>
  </si>
  <si>
    <t xml:space="preserve">Exkurze - vstupné </t>
  </si>
  <si>
    <t xml:space="preserve">Výroba 6ks videí </t>
  </si>
  <si>
    <t xml:space="preserve">Ostatní služby </t>
  </si>
  <si>
    <t>marketing soc. sítí</t>
  </si>
  <si>
    <t>Pronájem dodávky-doprava materiálu (tiskárna, sportovní vybavení, kancelářské vybavení, deskové hry, doprovodný program,...) a organizátorů na místo a z místa akce.</t>
  </si>
  <si>
    <t>stravování</t>
  </si>
  <si>
    <t>ubytování</t>
  </si>
  <si>
    <t>doprava</t>
  </si>
  <si>
    <t>zajištění odborníků na terénních programech</t>
  </si>
  <si>
    <t>zajištění programů v seniorských zařízeních</t>
  </si>
  <si>
    <t>zajištění aktivit na mezigeneračních vycházkách</t>
  </si>
  <si>
    <t>zajištění programů pro zdravotně znevýhodněné děti</t>
  </si>
  <si>
    <t>zajištění odborného výkladu na akcích</t>
  </si>
  <si>
    <t>zajištění aktivit na velkých osvětových akcích</t>
  </si>
  <si>
    <t>odborné texty k výstavě</t>
  </si>
  <si>
    <t>Vytvoření nových pomůcek na výukové programy</t>
  </si>
  <si>
    <t>technická pomoc při kopání tůní a půjčení nářadí</t>
  </si>
  <si>
    <t>příprava na výsadbu - vrtání děr</t>
  </si>
  <si>
    <t>zajištění doprovodného programu na akcích pro přírodu</t>
  </si>
  <si>
    <t>Akustický monitoring sovy pálené</t>
  </si>
  <si>
    <t>Management lokalit sovy pálené, realizace osvětových aktivit v terénu</t>
  </si>
  <si>
    <t>výroba dřevěného puzzle</t>
  </si>
  <si>
    <t>Hlavní metodické vedení</t>
  </si>
  <si>
    <t>Lektorské a metodické vedení</t>
  </si>
  <si>
    <t>občerstvení na závěrečnou minikonferenci</t>
  </si>
  <si>
    <t>občerstvení na setkání vzdělavatelů a vzdělavatelek</t>
  </si>
  <si>
    <t>ubytování účastníků setkání vzdělavatelů a vzdělavatelek</t>
  </si>
  <si>
    <t>Externí zemědělské práce</t>
  </si>
  <si>
    <t>Propagace projektu - vytvoření videospotů</t>
  </si>
  <si>
    <t>Tiskový mluvčí</t>
  </si>
  <si>
    <t>Lektor webináře</t>
  </si>
  <si>
    <t>Propagace příspěvků na sociálních sítích</t>
  </si>
  <si>
    <t>Analýza spotřebních výrobků v rámci osvětové kampaně</t>
  </si>
  <si>
    <t>Seč ručně vedenou sekačkou</t>
  </si>
  <si>
    <t>Subdodávka - materiální a technické zajištění jednodenní dobrovolnické akce</t>
  </si>
  <si>
    <t>Subdodávka - materiální a technické zajištění víkendové dobrovolnické akce</t>
  </si>
  <si>
    <t>Subdodávka - materiální a technické zajištění vícedenní dobrovolnické akce</t>
  </si>
  <si>
    <t>úklid prostor dílny a okolí dílny, péče o komunitní zahradu, svoz nábytku…</t>
  </si>
  <si>
    <t xml:space="preserve">Ostatní služby - zajištění monitoringu Ptačího parku Kosteliska subdodavatelem. </t>
  </si>
  <si>
    <t>Odborná evaluace projektu</t>
  </si>
  <si>
    <t>Propagace rozesílka přes Mailchimp</t>
  </si>
  <si>
    <t>Odbahnění tůně 15 x 15 m</t>
  </si>
  <si>
    <t>Ořez starých vrb</t>
  </si>
  <si>
    <t>Zhotovení a instalace informační tabule</t>
  </si>
  <si>
    <t>Zapůjčení kotle na biouhel včetně dopravy</t>
  </si>
  <si>
    <t>Propagace a správa sociálních sítí</t>
  </si>
  <si>
    <t>Zpravodajský servis ČTK</t>
  </si>
  <si>
    <t>Akustický monitoring</t>
  </si>
  <si>
    <t>Management lokalit sýčka obecného, osvětové aktivity mezi cílovou skupinou</t>
  </si>
  <si>
    <t>Služby PR a tiskového mluvčího</t>
  </si>
  <si>
    <t>Další služby - prezentace výstupů na sociálních sítích včetně reklamy</t>
  </si>
  <si>
    <t>Další služby - fotograf</t>
  </si>
  <si>
    <t>Audiovizuální služby - krátké video</t>
  </si>
  <si>
    <t>Asistence projektu OSVČ</t>
  </si>
  <si>
    <t>Nezbytné opravy nářadí, auta, křovinořezů</t>
  </si>
  <si>
    <t>Výroba videa - natočení, střih, titulky, zvuk 1 ks</t>
  </si>
  <si>
    <t>Placená inzerce facebook a regionální média</t>
  </si>
  <si>
    <t>Placené příspěvky na sociálních sítích a jejich tvorba (osvětová kampaň, propagace projektu)</t>
  </si>
  <si>
    <t>Tvorba videa s influencerem se zaměřením na cílovou skupinu 11-18 let</t>
  </si>
  <si>
    <t>Autorské ilustrace do brožury s použitím i na sociální sítě</t>
  </si>
  <si>
    <t>Fundraising, propagace</t>
  </si>
  <si>
    <t>Pronájem křovinořezů</t>
  </si>
  <si>
    <t>Programování webového nástroje</t>
  </si>
  <si>
    <t>Externí lektoři na seminářích</t>
  </si>
  <si>
    <t>Spolupráce s PR expertem</t>
  </si>
  <si>
    <t xml:space="preserve">Produkce 8 podcastů </t>
  </si>
  <si>
    <t>ilustrace</t>
  </si>
  <si>
    <t>Propagace na sociálních sítích</t>
  </si>
  <si>
    <t>Videoprodukce</t>
  </si>
  <si>
    <t>Externí spolupracovníci</t>
  </si>
  <si>
    <t>Tvorba školících, osvětových a informačních materiálů</t>
  </si>
  <si>
    <t>Koordinátorka cirkulární akademie</t>
  </si>
  <si>
    <t>Stakeholder management pro regionální zástupce</t>
  </si>
  <si>
    <t>Odborný garant</t>
  </si>
  <si>
    <t>příprava a vyvěšení samoobslužné stezky</t>
  </si>
  <si>
    <t>5.16.</t>
  </si>
  <si>
    <t>5.17.</t>
  </si>
  <si>
    <t>Řezačka papíru</t>
  </si>
  <si>
    <t>binokulární dalekohledy  8*30(32)</t>
  </si>
  <si>
    <t>výstavní panely packwall design double 9ks</t>
  </si>
  <si>
    <t>paletový nábytek</t>
  </si>
  <si>
    <t>Malá strojová technika</t>
  </si>
  <si>
    <t>Foliovník</t>
  </si>
  <si>
    <t>Množství přijatého použitého nábytku a bytového vybavení</t>
  </si>
  <si>
    <t>Hodin odpracovaných dobrovolníky</t>
  </si>
  <si>
    <t>hodin</t>
  </si>
  <si>
    <t>Objem dobrovolnické práce</t>
  </si>
  <si>
    <t>Příspěvky publikované na sociálních sítích - FB</t>
  </si>
  <si>
    <t>Dosah příspěvků</t>
  </si>
  <si>
    <t>zhlédnutí</t>
  </si>
  <si>
    <t>Dopad příspěvků publikovaných na sociálních sítích</t>
  </si>
  <si>
    <t>Zpráva k analýza OH a osvěty</t>
  </si>
  <si>
    <t>Distribuce zprávy</t>
  </si>
  <si>
    <t xml:space="preserve">Dosah publikačních výstupů  </t>
  </si>
  <si>
    <t>Poradenství obcím</t>
  </si>
  <si>
    <t>případů</t>
  </si>
  <si>
    <t>Kulatý stůl</t>
  </si>
  <si>
    <t>Účast na kulatých stolech</t>
  </si>
  <si>
    <t>Workshop s odborníkem</t>
  </si>
  <si>
    <t>Účast na workshopu</t>
  </si>
  <si>
    <t>Materiály pro kampaň</t>
  </si>
  <si>
    <t>Dosah kampaně v obcích</t>
  </si>
  <si>
    <t>Případová studie z obcí</t>
  </si>
  <si>
    <t>Počet stažení studie</t>
  </si>
  <si>
    <t>Rozesílka newsletteru</t>
  </si>
  <si>
    <t>Účast na webináři</t>
  </si>
  <si>
    <t>Dosah - počet oslovených institucí</t>
  </si>
  <si>
    <t>Dosah - akcí</t>
  </si>
  <si>
    <t>Dosah sociálních sítí</t>
  </si>
  <si>
    <t>zobrazení</t>
  </si>
  <si>
    <t>Videospoty o přírodě blízkém lesním hospodaření a FSC</t>
  </si>
  <si>
    <t>Zhlédnutí videospotů na sociálních sítích</t>
  </si>
  <si>
    <t>Články o PBLH a FSC certifikaci ve specializovaných časopisech pro obecní samosprávy nebo lesníky</t>
  </si>
  <si>
    <t>Přímá emailová kampaň – kontaktované obce</t>
  </si>
  <si>
    <t>Kampaň na sociálních sítích – počet příspěvků</t>
  </si>
  <si>
    <t>Kampaň na sociálních sítích - dopad (počet zhlédnutí příspěvků)</t>
  </si>
  <si>
    <t>Prezentace a propagace projektových aktivit na webových stránkách žadatele (www.czechfsc.cz) - zveřejněné články</t>
  </si>
  <si>
    <t>Příspěvky publikované na sociálních sítích (FB)</t>
  </si>
  <si>
    <t>Dosah příspěvků na sociálních sítích</t>
  </si>
  <si>
    <t>Realizace  akce " Daruj funkční nábytek - sběrný dvůr je až poslední možnost"</t>
  </si>
  <si>
    <t>Účastníci akce Daruj funkční nábytek …</t>
  </si>
  <si>
    <t>Elektronický a tištěný propagační leták</t>
  </si>
  <si>
    <t>Články do městských tiskovin</t>
  </si>
  <si>
    <t>tvorba videí</t>
  </si>
  <si>
    <t>sledovanost videí</t>
  </si>
  <si>
    <t>zveřejnění na sociálních 
sítích (FB, Twitter, LinkedIn)</t>
  </si>
  <si>
    <t>vytvoření letáků (brožur obsahující informace a řešení předcházení vzniku odpadu)</t>
  </si>
  <si>
    <t>Dopad ankety</t>
  </si>
  <si>
    <t>soutěž</t>
  </si>
  <si>
    <t>dosah - počet oslovených účastníků</t>
  </si>
  <si>
    <t>příspěvky na sociálních sítích</t>
  </si>
  <si>
    <t>dopad příspěvků publikovaných na sociálních sítích</t>
  </si>
  <si>
    <t>publikační výstupy - sborník, metodika</t>
  </si>
  <si>
    <t>dosah publikačních výstupů</t>
  </si>
  <si>
    <t>počet zapojených dobrovolníků</t>
  </si>
  <si>
    <t>objem dobrovolnické práce</t>
  </si>
  <si>
    <t>Program Pěšky do školy po celý rok</t>
  </si>
  <si>
    <t>programů</t>
  </si>
  <si>
    <t>4 školy – předpokládaný počet zapojených žáků</t>
  </si>
  <si>
    <t>Grafický infosheet - elektronicky</t>
  </si>
  <si>
    <t>Grafický infosheet – počet příjemců</t>
  </si>
  <si>
    <t>Poradenství pro školy v hodinách</t>
  </si>
  <si>
    <t>Projektová stránka na www.peskymestem.cz</t>
  </si>
  <si>
    <t xml:space="preserve">Počet návštěv stránky </t>
  </si>
  <si>
    <t>Zpravodaj - elektronicky</t>
  </si>
  <si>
    <t>Počet odběratelů zpravodaje</t>
  </si>
  <si>
    <t>Odborný článek o programu</t>
  </si>
  <si>
    <t>Dopad příspěvků na sociálních sítích (průměrný dosah jednoho příspěvku)</t>
  </si>
  <si>
    <t>počet aktivních seniorů</t>
  </si>
  <si>
    <t>programy pro znevýhodněné seniory</t>
  </si>
  <si>
    <t>počet znevýhodněných seniorů</t>
  </si>
  <si>
    <t>programy v domovech seniorů</t>
  </si>
  <si>
    <t>počet účastníků v domovech seniorů</t>
  </si>
  <si>
    <t>programy pro zdravotně znevýhodněné děti</t>
  </si>
  <si>
    <t>počet dětí</t>
  </si>
  <si>
    <t>mezigenerační vycházky s vnoučaty</t>
  </si>
  <si>
    <t>počet účastníků vycházek</t>
  </si>
  <si>
    <t>Praktické akce pro přírodu</t>
  </si>
  <si>
    <t>Účastníci akcí pro přírodu</t>
  </si>
  <si>
    <t>Vzdělávací a osvětové akce</t>
  </si>
  <si>
    <t>Účastníci vzdělávacích akcí</t>
  </si>
  <si>
    <t>Ekologické programy pro školy</t>
  </si>
  <si>
    <t>Účastníci programů pro školy</t>
  </si>
  <si>
    <t>Výstava ZDRAVÁ KRAJINA</t>
  </si>
  <si>
    <t>Dosah výstavy</t>
  </si>
  <si>
    <t>Management lokalit sovy pálené.</t>
  </si>
  <si>
    <t>Počet přímých provedených péčí o území / prací v terénu – bodová opatření</t>
  </si>
  <si>
    <t>Akustický monitoring (AM) sovy pálené.</t>
  </si>
  <si>
    <t>Monitoring biodiverzity – bodové objekty</t>
  </si>
  <si>
    <t>Osvětové akce pro zemědělskou veřejnost</t>
  </si>
  <si>
    <t>Dosah osvětových aktivit pro cílovou skupinu projektu zemědělskou veřejnost.</t>
  </si>
  <si>
    <t>Příspěvky publikované na sociálních sítích – fotografie nebo videa</t>
  </si>
  <si>
    <t>Sledovanost příspěvků na sociálních sítích</t>
  </si>
  <si>
    <t>Celobarevná brožura „Sýček obecný (Athene noctua) &amp; sova pálená (Tyto alba) – silně ohrožené druhy naší přírody.“</t>
  </si>
  <si>
    <t>Náklad brožury</t>
  </si>
  <si>
    <t>Metodika modulárního výukového programu s volitelnými aktivitami. Při použití všech aktivit vznikne program minimálně na 3 vyučovací hodiny.</t>
  </si>
  <si>
    <t>Vytvořené pracovní listy a herní pomůcky k jednotlivým aktivitám</t>
  </si>
  <si>
    <t>Dopad programu v rámci testování</t>
  </si>
  <si>
    <t>Proškolení lektoři</t>
  </si>
  <si>
    <t>Metodická podpora pro pilotní exkurzi a reuse program</t>
  </si>
  <si>
    <t>Uskutečněné exkurze pro žáky</t>
  </si>
  <si>
    <t>Počet zúčastněných žáků</t>
  </si>
  <si>
    <t>Příspěvky na sociálních sítích  Instagram/ Facebook</t>
  </si>
  <si>
    <t>Zveřejnění metodiky na webových stránkách</t>
  </si>
  <si>
    <t>Dosah metodiky pro odbornou cílovou skupinu (Reuse Federace)</t>
  </si>
  <si>
    <t>Minikonference o výstupech vlastní práce učitelů při výuce venku</t>
  </si>
  <si>
    <t>odborné články</t>
  </si>
  <si>
    <t>konzultace s experty</t>
  </si>
  <si>
    <t>ekologické výukové programy</t>
  </si>
  <si>
    <t>Participativní akce pro širokou veřejnost - minivýstavy, konzult. odpoledne a diskuze</t>
  </si>
  <si>
    <t>Dosah participativních akcí pro širokou veřejností</t>
  </si>
  <si>
    <t>Akce pro širokou veřejnost
- závěrečná výstava</t>
  </si>
  <si>
    <t>Akce pro specifické skupiny
- komunitní procházky, 
interaktivní workshop
a tvorba modelu</t>
  </si>
  <si>
    <t>Dosah akcí pro specifické skupiny</t>
  </si>
  <si>
    <t>Vysazené keře</t>
  </si>
  <si>
    <t>Praktické vzdělávací akce pro CS</t>
  </si>
  <si>
    <t>Návštěva/zapojení CS do akcí</t>
  </si>
  <si>
    <t>Počet shlédnutí jednotlivých příspěvků</t>
  </si>
  <si>
    <t>Poradenství a konzultace</t>
  </si>
  <si>
    <t>Počet účastníků výukového programu</t>
  </si>
  <si>
    <t>Videospoty</t>
  </si>
  <si>
    <t>Počet shlédnutí jednotlivých videospotů</t>
  </si>
  <si>
    <t>Počet odpracovaných hodin dobrovolníky</t>
  </si>
  <si>
    <t>Účastníci webináře</t>
  </si>
  <si>
    <t>Materiály</t>
  </si>
  <si>
    <t>Distribuce materiálů</t>
  </si>
  <si>
    <t>Články</t>
  </si>
  <si>
    <t>Počet dotazů v ekoporadně</t>
  </si>
  <si>
    <t>e-komiks</t>
  </si>
  <si>
    <t>Dosah komiksu</t>
  </si>
  <si>
    <t>animační video</t>
  </si>
  <si>
    <t>plocha území přímých provedených péčí o území 
- Zastávka (0,9ha), Hrušky u Brna (15,3ha)</t>
  </si>
  <si>
    <t xml:space="preserve">Plocha území přímých provedených péčí o území / prací v terénu - plošná opatření  </t>
  </si>
  <si>
    <t>Počet přímých provedených péčí o území / prací v terénu – 3 lokality v Mikulčicích</t>
  </si>
  <si>
    <t>prořezané, ošetřené, zamulčované nebo naroubované stromy</t>
  </si>
  <si>
    <t>Odpracované dobrovolnické hodiny účastníků akcí</t>
  </si>
  <si>
    <t>počet účastníků zapojených do dobrovolnicko-osvětových akcí</t>
  </si>
  <si>
    <t>dosah FB událostí/postů (počet reakcí)</t>
  </si>
  <si>
    <t>Metodická podpora - počet uskutečněných programových konzultací  pro lektory</t>
  </si>
  <si>
    <t>Supervizní podpora - počet uskutečněných programových evaluačních konzultací  pro lektory</t>
  </si>
  <si>
    <t>Supevidovaní lektoři</t>
  </si>
  <si>
    <t>Uskutečněné programy pro děti (196 hodin)</t>
  </si>
  <si>
    <t>Počet zúčastněných dětí programů EVVO</t>
  </si>
  <si>
    <t>Počet příspěvků na sociálních sítích</t>
  </si>
  <si>
    <t>Webová podstránka pro síťování lektorů Eko Artefiletiky</t>
  </si>
  <si>
    <t>Dosah webových stránek</t>
  </si>
  <si>
    <t>Odborný článek</t>
  </si>
  <si>
    <t>Vytvořený, odpilotovaný a zhodnocený výukový program Lišácké učení</t>
  </si>
  <si>
    <t>Minimální počet absolventů pilotního školení
(maximální kapacita 22)</t>
  </si>
  <si>
    <t>Přímý dosah školení na širokou veřejnost (multiplikace - 1 absolvent školení přímo  ovlivní min. 15 dětí + 30 rodičů v instituci, kde působí + min. 2 další kolegy v týmu)</t>
  </si>
  <si>
    <t>Celkový počet hodin školení (2x video přednášky + 3 x školení naživo), hodina = 60 min</t>
  </si>
  <si>
    <t>Počet stran návrhu metodiky pro pilotní školen</t>
  </si>
  <si>
    <t>Počet publikací metodiky Lišáckého učení</t>
  </si>
  <si>
    <t>Přímý dosah publikace (k dispozici pro instituce vzdělávající předškolní děti, v každé instituci min. 3 pedagogové + 15 dětí + 30 rodičů)</t>
  </si>
  <si>
    <t>14 400</t>
  </si>
  <si>
    <t>Počet publikovaných unikátních příspěvků na sociálních sítích v průběhu projektu</t>
  </si>
  <si>
    <t>Dosah příspěvků na sociálních sítích - počet shlédnutí
(16 příspěvků s předpokládaným minimálním dosahem 200 unikátních shlédnutí / příspěvek)</t>
  </si>
  <si>
    <t>32 000</t>
  </si>
  <si>
    <t>Počet článků publikovaných v médiích</t>
  </si>
  <si>
    <t>Minimální počet 10 čtenářů / výtisk publikovaného článku- dle nákladu tištěného média: např. bulletin Mrkvička náklad 1200 výtisků</t>
  </si>
  <si>
    <t>24 000</t>
  </si>
  <si>
    <t>účastníci jednodenních dobrovolnických akcí</t>
  </si>
  <si>
    <t>účastníci víkendových dobrovolnických akcí</t>
  </si>
  <si>
    <t>účastníci vícedenních dobrovolnických akcí</t>
  </si>
  <si>
    <t>počet lokalit, kde dobrovolníci zajistí drobná managementová opatření v souladu s plánem 2025</t>
  </si>
  <si>
    <t>příspěvky/události na sociálních sítích k aktivitám na projektových lokalitách</t>
  </si>
  <si>
    <t>plakát a leták A4 s pozváním k účasti na dobrovolnických akcích (2 druhy)</t>
  </si>
  <si>
    <t>plakát a leták A4 s pozváním k účasti na dobrovolnických akcích (2 druhy) - celkový náklad)</t>
  </si>
  <si>
    <t>příspěvky/události na sociálních sítích k aktivitám na projektových lokalitách (počet reakcí - mám zájem, to se mi líbí atp.)</t>
  </si>
  <si>
    <t>hodiny odpracované dobrovolníky na akcích</t>
  </si>
  <si>
    <t>Množství odklizeného odpadu (tuny)</t>
  </si>
  <si>
    <t>Zapojení dobrovolníků a dětských kolektivů do úklidových akcí</t>
  </si>
  <si>
    <t>Metodické materiály a pracovní listy pro organizátory úklidů, dobrovolníky a školy</t>
  </si>
  <si>
    <t>Metodické materiály pro organizátory úklidů a dobrovolníky</t>
  </si>
  <si>
    <t>Přednášky pro školy na téma odpady a předcházení jejich vzniku</t>
  </si>
  <si>
    <t>Dopad příspěvků na sociálních sítích</t>
  </si>
  <si>
    <t>Propagační předměty v podobě potřeb pro zero waste (druhy)</t>
  </si>
  <si>
    <t>Propagační předměty v podobě potřeb pro zero waste</t>
  </si>
  <si>
    <t>Akce pro širokou veřejnost (kurzy V Dílně, akce v Zauhlovačce)</t>
  </si>
  <si>
    <t>Ekologické výukové programy - spojené s řemeslem</t>
  </si>
  <si>
    <t>Dopad výukových ekologických programů</t>
  </si>
  <si>
    <t>Kroužek - akce pro specifickou cílovou skupinu (děti, 1.stupeň ZŠ)</t>
  </si>
  <si>
    <t>Dosah akcí pro specifickou cílovou skupinu (kroužky pro děti na 1.stupni ZŠ)</t>
  </si>
  <si>
    <t xml:space="preserve">Plošný monitoring ptáků  </t>
  </si>
  <si>
    <t xml:space="preserve">Monitoring invazních savců </t>
  </si>
  <si>
    <t xml:space="preserve">Zpravodajské výstupy  </t>
  </si>
  <si>
    <t xml:space="preserve">Příspěvky na sociálních sítích  </t>
  </si>
  <si>
    <t xml:space="preserve">Publikační výstupy  </t>
  </si>
  <si>
    <t>Blogové články Příklady dobré praxe na sběr biomateriálu a kompostování ve školách</t>
  </si>
  <si>
    <t>Příspěvky soc. sítě - propagace  příkladů dobré praxe na sběr biomateriálu a kompostování ve školách, propagace metodiky</t>
  </si>
  <si>
    <t>Ověřovací realizace 2 projektu Ze mě do země  ZŠ + SŠ - část nové EVP příprava o délce 90 min.</t>
  </si>
  <si>
    <t>Účastníci programu</t>
  </si>
  <si>
    <t>Proškolení pedagogů  ZŠ a SŠ</t>
  </si>
  <si>
    <t>Metodika pro ZŠ</t>
  </si>
  <si>
    <t>Metodika pro ZŠ -  dopad</t>
  </si>
  <si>
    <t>Sada tematických plánů pro ZŠ a SŠ</t>
  </si>
  <si>
    <t>Sada tematických plánů pro ZŠ a SŠ - náklad</t>
  </si>
  <si>
    <t>Články v médiích (Bedrník,Enviweb, Ekolist, Pražská EVOluce)</t>
  </si>
  <si>
    <t>Distribuce newsletteru</t>
  </si>
  <si>
    <t>Plakát k projektu</t>
  </si>
  <si>
    <t>Náklad plakátů</t>
  </si>
  <si>
    <t>Ořez vrb, odbahnění tůně a čištění potoka a tůní</t>
  </si>
  <si>
    <t xml:space="preserve">Plocha území přímých provedených péčí o území / prací v terénu - plošná opatření
</t>
  </si>
  <si>
    <t>Počet ořezaných starých vrb</t>
  </si>
  <si>
    <t>Článek v místním zpravodaji</t>
  </si>
  <si>
    <t>Počet ořezaných mladých vrb</t>
  </si>
  <si>
    <t>Počet postů na soc. média</t>
  </si>
  <si>
    <t>Sledovanost sociálních sítí</t>
  </si>
  <si>
    <t>Dobrovolnické dny včetně exkurze s odborným výkladem</t>
  </si>
  <si>
    <t>Dosah dobrovolnických dnů</t>
  </si>
  <si>
    <t>Rozsah dobrovolnické práce</t>
  </si>
  <si>
    <t>Vzdělávací videa o půdě</t>
  </si>
  <si>
    <t>Počet shlédnutí videí</t>
  </si>
  <si>
    <t>Seminář pro pedagogy</t>
  </si>
  <si>
    <t>Proškolení pedagogové</t>
  </si>
  <si>
    <t>Článek v časopise Bedrník a Ekoton</t>
  </si>
  <si>
    <t>Propagace a šíření výsledků o projektu na sociálních sítích</t>
  </si>
  <si>
    <t>Metodika dvou na sebe navazujících vzdělávacích programů o půdě</t>
  </si>
  <si>
    <t>Počet žáků, který prošel pilotním ověření výuk.programu dle metodiky</t>
  </si>
  <si>
    <t>Počet shlédnutí příspěvků na sociálních sítích</t>
  </si>
  <si>
    <t>publikované články</t>
  </si>
  <si>
    <t>příspěvky na sociální sítě</t>
  </si>
  <si>
    <t>Letní škola - vícedenní akce</t>
  </si>
  <si>
    <t>Účastníci letní školy</t>
  </si>
  <si>
    <t>EVP pro dospívající z Ukrajiny</t>
  </si>
  <si>
    <t>Počet účatníků EVP</t>
  </si>
  <si>
    <t>Brod 2 - akce pro dospívající z Ukrajiny</t>
  </si>
  <si>
    <t>Počet účastníků akce Brod 2</t>
  </si>
  <si>
    <t>Zapojených dobrovolníků</t>
  </si>
  <si>
    <t>Management lokalit sýčka obecného.</t>
  </si>
  <si>
    <t>Akustický monitoring (AM) sýčka obecného.</t>
  </si>
  <si>
    <t>Osvětové aktivity pro cílovou skupinu projektu zemědělskou veřejnost.</t>
  </si>
  <si>
    <t xml:space="preserve">Tisk brožury Sýček </t>
  </si>
  <si>
    <t>Praktická ochrana hnízd bahňáků. (Počet ochráněných hnízd bahňáků před jejich zničením zemědělskou technikou.)</t>
  </si>
  <si>
    <t>Počet nových zapojených dobrovolníků do přímé ochrany hnízd.</t>
  </si>
  <si>
    <t>Plocha území zemědělské krajiny pokrytá monitoringem cílových druhů (uvedená v kilometrech).</t>
  </si>
  <si>
    <t>Monitoring biodiverzity – plošný monitoring</t>
  </si>
  <si>
    <t>Workshopy a seminář zaměřené na praktickou ochranu polních ptáků zemědělské krajiny</t>
  </si>
  <si>
    <t>Dosah plánovaných akcí pro veřejnost (minimální počet účastníků na všech akcích dohromady).</t>
  </si>
  <si>
    <t>Zpravodajské a odborné články</t>
  </si>
  <si>
    <t>Individuální poradenství na farmách</t>
  </si>
  <si>
    <t>Akce: Aplikace adaptačního opatření; První seč, workshop kosení; Procházka</t>
  </si>
  <si>
    <t>Dopad akcí</t>
  </si>
  <si>
    <t>Brožura Monitoring loňských výsevů</t>
  </si>
  <si>
    <t>Dopad brožury Monitoring loňských výsevů</t>
  </si>
  <si>
    <t>Počet zhlénutí videomateriálu</t>
  </si>
  <si>
    <t>Náklad informačních cedulí</t>
  </si>
  <si>
    <t>Novinky na webu</t>
  </si>
  <si>
    <t>Poradenské konzultace</t>
  </si>
  <si>
    <t>Článek v médiích</t>
  </si>
  <si>
    <t>Čtenost newsletteru</t>
  </si>
  <si>
    <t>Plocha území přímých provedených péčí o území / prací v terénu - plošná opatření</t>
  </si>
  <si>
    <t>Akce pro odbornou / širokou veřejnost – Botanická exkurze</t>
  </si>
  <si>
    <t>Dosah akcí pro odbornou / širokou veřejnost - Botanická exkurze</t>
  </si>
  <si>
    <t>Příspěvky publikovaných na sociálních sítích</t>
  </si>
  <si>
    <t>Publikační výstupy - video</t>
  </si>
  <si>
    <t>Dosah publikačních výstupů -  video</t>
  </si>
  <si>
    <t>Počet workshopů</t>
  </si>
  <si>
    <t>Min. účast na workshopech</t>
  </si>
  <si>
    <t>Odborné články na web a blog</t>
  </si>
  <si>
    <t>Počet adresátů newsletterů</t>
  </si>
  <si>
    <t>Příspěvky na sociální sítě</t>
  </si>
  <si>
    <t>Dosah na sociálních sítích</t>
  </si>
  <si>
    <t>Publikace</t>
  </si>
  <si>
    <t>Počet výtisků</t>
  </si>
  <si>
    <t>Počet stažení</t>
  </si>
  <si>
    <t>Seminář</t>
  </si>
  <si>
    <t>Min. účast na semináři</t>
  </si>
  <si>
    <t>Přednášky pro studenty</t>
  </si>
  <si>
    <t>Min. účast na přednáškách</t>
  </si>
  <si>
    <t>Účastníci exkurzí</t>
  </si>
  <si>
    <t>Dobrovolnické akce s  vězeňskými subjekty</t>
  </si>
  <si>
    <t>Účastníci akcí s  vězeňskými subjekty</t>
  </si>
  <si>
    <t>Realizace přeshraničních dobrovolnických akcí</t>
  </si>
  <si>
    <t>Účastníci přeshraničních dobrovolnických akcí</t>
  </si>
  <si>
    <t>Účastníci programů (minimálně)</t>
  </si>
  <si>
    <t>Informační kampaň (minimálně)</t>
  </si>
  <si>
    <t>Vysazené stromy</t>
  </si>
  <si>
    <t>Vydané vzdělávací hry</t>
  </si>
  <si>
    <t>Vydané hry - náklad</t>
  </si>
  <si>
    <t>Článek jak na dekarbonizaci škol</t>
  </si>
  <si>
    <t>Semináře k dekarbonizaci škol – pro učitele, ředitele a zřizovatele</t>
  </si>
  <si>
    <t>Poradenské konzultace pro školy a zřizovatele</t>
  </si>
  <si>
    <t>Informační e-book k dekarbonizaci a online nástroji pro výpočet uhlíkové stopy školy</t>
  </si>
  <si>
    <t>Informační e-book k dekarbonizaci a online nástroji (online ke stažení)</t>
  </si>
  <si>
    <t>Podcast</t>
  </si>
  <si>
    <t>Publikovaný přepis rozhovorů + audiozáznam</t>
  </si>
  <si>
    <t>Dosah publikovaného přepisu rozhovorů</t>
  </si>
  <si>
    <t>Komiks o odpadech</t>
  </si>
  <si>
    <t>Pexeso o odpadech</t>
  </si>
  <si>
    <t>Počet účastníků akcí</t>
  </si>
  <si>
    <t>Výstava na školách</t>
  </si>
  <si>
    <t>Výstava -počet účastníků</t>
  </si>
  <si>
    <t>Poradenství pro obce</t>
  </si>
  <si>
    <t>Webináře pro obce</t>
  </si>
  <si>
    <t>Dosah webinářů–počet účastníků</t>
  </si>
  <si>
    <t>Newslettery pro obce</t>
  </si>
  <si>
    <t>Dosah newsletterů</t>
  </si>
  <si>
    <t>Článek do časopisu Moderní obec</t>
  </si>
  <si>
    <t>Monitoring - zmapované/aktualizované studánky a prameny zapsané do registru</t>
  </si>
  <si>
    <t>Počet pobytového programu</t>
  </si>
  <si>
    <t>Dosah akcí</t>
  </si>
  <si>
    <t>Nápadník aktivit</t>
  </si>
  <si>
    <t>Výroba deskové hry Planeta A</t>
  </si>
  <si>
    <t>Náklad deskové hry Planeta A a distribuce</t>
  </si>
  <si>
    <t xml:space="preserve">Sborník
</t>
  </si>
  <si>
    <t>Náklad sborníku</t>
  </si>
  <si>
    <t xml:space="preserve">Výstava </t>
  </si>
  <si>
    <t>Pilotní realizace inovovaného programu obsahující teoretickou i praktickou výuku o agroekologii.</t>
  </si>
  <si>
    <t>Účastníků výukového programu o agroekologii</t>
  </si>
  <si>
    <t>Výukové programy (min. účast)</t>
  </si>
  <si>
    <t>Seminář pro učitele</t>
  </si>
  <si>
    <t>Seminář (min. účast)</t>
  </si>
  <si>
    <t>Počet výukových programů</t>
  </si>
  <si>
    <t>Nápadník aktivit (Publikační výstupy)</t>
  </si>
  <si>
    <t>Analýza odpadového hospodářství</t>
  </si>
  <si>
    <t>Počet hodin odpracovaných zapojenými dobrovolníky</t>
  </si>
  <si>
    <t>Videa o výsledcích analýzy</t>
  </si>
  <si>
    <t>Počet počet adresátů videí</t>
  </si>
  <si>
    <t>Počet zhlédnutí příspěvků na sociálních sítích</t>
  </si>
  <si>
    <t>Videonávod pro další obce</t>
  </si>
  <si>
    <t>Počet počet adresátů newsletteru (videonávodu)</t>
  </si>
  <si>
    <t>Mastermind</t>
  </si>
  <si>
    <t>Počet účastníků masterminds</t>
  </si>
  <si>
    <t>Exkurze</t>
  </si>
  <si>
    <t>Počet účastníků exkurze</t>
  </si>
  <si>
    <t>Akce pro odbornou / širokou veřejnost / specifické cílové skupiny - počet akcí</t>
  </si>
  <si>
    <t>Dosah akcí pro odbornou / širokou veřejnost / specifické cílové  skupiny/participativní akce [počet účastníků]</t>
  </si>
  <si>
    <t>Publikační výstupy [počet publikačních výstupů] - psané elekronické infolisty</t>
  </si>
  <si>
    <t>Dosah Publikační výstupy náklad/distribuce - psané elekronické infolisty</t>
  </si>
  <si>
    <t>Publikační výstupy - videospoty - počet</t>
  </si>
  <si>
    <t>Dosah Publikační výstupy - videospoty - počet shlédnutí</t>
  </si>
  <si>
    <t>Počet účastníků zapsaných do vzdělávacího modulu - TEORIE 1. část ONLINE formát</t>
  </si>
  <si>
    <t>Počet přednášek v rámci modulu Manažer/ka cirkulárních projektů pro regiony ČR</t>
  </si>
  <si>
    <t>Počet účastníků s metodickou podporou směrem k realizaci projektů v regionech - PRAXE -  2. OFFLINE setkání</t>
  </si>
  <si>
    <t>Metodika PŘÍRODA+POHYB+UČENÍ</t>
  </si>
  <si>
    <t>Počet účastníků programu</t>
  </si>
  <si>
    <t>Prezentace projektu</t>
  </si>
  <si>
    <t>Účastníků prezentace projektu</t>
  </si>
  <si>
    <t>Článek na webu</t>
  </si>
  <si>
    <t>Odborný článek v časopisu pro pedagogy</t>
  </si>
  <si>
    <t>Zpráva ve zpravodaji</t>
  </si>
  <si>
    <t>Facebookový post</t>
  </si>
  <si>
    <t>Sledovanost facebookového postu</t>
  </si>
  <si>
    <t>Počet přímých provedených péčí o území / prací v terénu</t>
  </si>
  <si>
    <t>Vysazené stromy nebo keře</t>
  </si>
  <si>
    <t>Dosah akcí pro odbornou / širokou veřejnost – počet osob</t>
  </si>
  <si>
    <t>Ekologické výukové programy 
(Venkovní program PORTÁLY DO PŘÍRODY)</t>
  </si>
  <si>
    <t>Dopad příspěvků publikovaných na sociálních sítích = počet zobrazení/zhlédnutí příspěvků celkově</t>
  </si>
  <si>
    <t>Akce pro širokou / odbornou veřejnost...
(Webináře POZVÁNKY DO PŘÍRODY)</t>
  </si>
  <si>
    <t>Dosah akcí pro širokou / odbornou veřejnost...</t>
  </si>
  <si>
    <t>Zajištění managementu areálu</t>
  </si>
  <si>
    <t>Článek do čas. Ochrana přírody</t>
  </si>
  <si>
    <t>Článek pro časopis Živa</t>
  </si>
  <si>
    <t>Odborná exkurze</t>
  </si>
  <si>
    <t>Dosah odborné exkurze</t>
  </si>
  <si>
    <t>Příspěvek na setkání AOPK</t>
  </si>
  <si>
    <t>Dosah příspěvku na setkání</t>
  </si>
  <si>
    <t>Facebookové příspěvky</t>
  </si>
  <si>
    <t>Dosah facebookových příspěvků</t>
  </si>
  <si>
    <t>Nábytková banka Plzeňského kraje, z.s.</t>
  </si>
  <si>
    <t>ARNIKA - program Toxické látky a odpady</t>
  </si>
  <si>
    <t>Sdružení mladých ochránců přírody Českého svazu ochránců přírody</t>
  </si>
  <si>
    <t>Fairwood, z.s.</t>
  </si>
  <si>
    <t>Ekologie v praxi, z.s.</t>
  </si>
  <si>
    <t>Pěšky městem, z. s.</t>
  </si>
  <si>
    <t>ČSOP - RS Iris</t>
  </si>
  <si>
    <t>TYTO, z. s.</t>
  </si>
  <si>
    <t>Česká společnost ornitologická</t>
  </si>
  <si>
    <t>Z pokoje do pokoje - Spojené hlavy, z. s.</t>
  </si>
  <si>
    <t>NaZemi, z. s.</t>
  </si>
  <si>
    <t>Místní akční skupina Pomalší o.p.s.</t>
  </si>
  <si>
    <t>Spolek udržitelný rozvoj</t>
  </si>
  <si>
    <t>Hnutí Brontosaurus</t>
  </si>
  <si>
    <t>Eko Art Therapy Institut, z.s.</t>
  </si>
  <si>
    <t>Asociace lesních MŠ, z.s.</t>
  </si>
  <si>
    <t>Český svaz ochránců přírody</t>
  </si>
  <si>
    <t>AvantgArt, z. s.</t>
  </si>
  <si>
    <t>EKODOMOV, z.s.</t>
  </si>
  <si>
    <t>Arnika, z. s.</t>
  </si>
  <si>
    <t>Středisko ekologické výchovy SEVER Horní Maršov, o.p.s.</t>
  </si>
  <si>
    <t>BEZK, z.s.</t>
  </si>
  <si>
    <t>Arnika - Centrum pro podporu občanů</t>
  </si>
  <si>
    <t>Čmelák - Společnost přátel přírody z.s.</t>
  </si>
  <si>
    <t>Ekocentrum PALETA, z. ú.</t>
  </si>
  <si>
    <t>CI2, o.p.s.</t>
  </si>
  <si>
    <t>Zelený kruh</t>
  </si>
  <si>
    <t>Institut pro udržitelný rozvoj o. p. s.</t>
  </si>
  <si>
    <t>Mladí ochránci přírody, z. s.</t>
  </si>
  <si>
    <t>Tradice Bílých Karpat, z.s.</t>
  </si>
  <si>
    <t>Asociace místních potravinových iniciativ, o.p.s.</t>
  </si>
  <si>
    <t>Hnutí DUHA - Friends of the Earth Czech Republic</t>
  </si>
  <si>
    <t>Česká federace nábytkových bank a re-use center z.s.</t>
  </si>
  <si>
    <t>TEREZA, vzdělávací centrum, z.ú.</t>
  </si>
  <si>
    <t>Otevřený program Ochrana biodiverzity v roce 2025</t>
  </si>
  <si>
    <t>Podpora vzniku a rozvoje pozemkových spolků 2025</t>
  </si>
  <si>
    <t>Náklady na realizaci dílčích opatření</t>
  </si>
  <si>
    <t>Služby pro aktivity (konference, semináře apod.)</t>
  </si>
  <si>
    <t>i11char</t>
  </si>
  <si>
    <t xml:space="preserve">Plocha území přímých provedených péčí o území / prací v terénu - plošná opatření </t>
  </si>
  <si>
    <t xml:space="preserve">Počet přímých provedených péčí o území / prací v terénu – bodová opatření </t>
  </si>
  <si>
    <t xml:space="preserve">Monitoring biodiverzity - plošný monitoring </t>
  </si>
  <si>
    <t xml:space="preserve">Odborné / zpravodajské články </t>
  </si>
  <si>
    <t xml:space="preserve">Akce pro odbornou / širokou veřejnost / specifické cílové skupiny/participativní akce </t>
  </si>
  <si>
    <t xml:space="preserve">Dosah akcí pro odbornou / širokou veřejnost / specifické cílové skupiny/participativní akce </t>
  </si>
  <si>
    <t>Dosah akcí pro odbornou / širokou veřejnost / specifické cílové skupiny/participativní akce</t>
  </si>
  <si>
    <t xml:space="preserve">Publikační výstupy </t>
  </si>
  <si>
    <t>Dosah publikačních výstupů</t>
  </si>
  <si>
    <t>hod</t>
  </si>
  <si>
    <t xml:space="preserve">Odborné / zpravodajské články
</t>
  </si>
  <si>
    <t xml:space="preserve">Akce pro odbornou / širokou
veřejnost / specifické cílové
skupiny/participativní akce
</t>
  </si>
  <si>
    <t xml:space="preserve">Dosah akcí pro odbornou /
širokou veřejnost / specifické
cílové skupiny/participativní
akce </t>
  </si>
  <si>
    <t xml:space="preserve">Příspěvky publikované na
sociálních sítích </t>
  </si>
  <si>
    <t xml:space="preserve">Počet zapojených dobrovolníků
</t>
  </si>
  <si>
    <t>os</t>
  </si>
  <si>
    <t xml:space="preserve">Nově akreditované pozemkové
spolky/reakreditované
pozemkové spolky </t>
  </si>
  <si>
    <t>1/60</t>
  </si>
  <si>
    <t xml:space="preserve">Rozšíření plochy pozemkových
spolků </t>
  </si>
  <si>
    <t>Verze formuláře 1/2025; 30.4.2025</t>
  </si>
  <si>
    <t>Legislativní monitoring – Týdenní přehled aktuálně projednávaných návrhů z oblasti životního prostředí na národní úrovni.</t>
  </si>
  <si>
    <t>Ks</t>
  </si>
  <si>
    <t>Distribuce legislativního monitoringu – zasílá se zástupcům všech řádných členů ZK - tj. 28 organizacím.</t>
  </si>
  <si>
    <t>Počet</t>
  </si>
  <si>
    <t>Dosah publikační výstupů</t>
  </si>
  <si>
    <t>Elektronický zpravodaj pro členy Oborové platformy ZK a MŽP – připravený min. 1 za tři měsíce - shrnutí klíčových událostí v oblastech relevantních pro ekologické NNO</t>
  </si>
  <si>
    <t>Distribuce Zpravodaje pro členy Oborové platformy ZK a MŽP – prostřednictvím aplikace pro newslettry doručeno všem 91 členům ZK a Oborové platformy.</t>
  </si>
  <si>
    <t>Oborové setkání Platformy ZK – Setkání členských organizací Zeleného kruhu a přizvaných hostů z dalších neziskových sítí či veřejné správy, zpravidla spojené s tematickou debatou</t>
  </si>
  <si>
    <t>Dosah Oborové setkání Platformy ZK</t>
  </si>
  <si>
    <t>Účastníků</t>
  </si>
  <si>
    <t>Společná odborná pozice členských organizací ZK k vybranému tématu</t>
  </si>
  <si>
    <t>Distribuce odborné pozice veřejnosti, médiím a zástupcům veřejné správy a politikům</t>
  </si>
  <si>
    <t>Pracovní setkání členských organizací ZK s vedením MŽP</t>
  </si>
  <si>
    <t>Počet účastníků z řad NNO na setkání s vedením MŽP</t>
  </si>
  <si>
    <t>Příprava strategického plánování pro asociaci ZK (workshopy)</t>
  </si>
  <si>
    <t>Počet osob zapojených do přípravy strategického plánování</t>
  </si>
  <si>
    <t>Spolupráce s NNO pro kvalitní a efektivní správu věcí veřejných (2025)</t>
  </si>
  <si>
    <t>65667131</t>
  </si>
  <si>
    <t>Síť středisek ekologické výchovy Pavučina, z. s.</t>
  </si>
  <si>
    <t>Senovážné náměstí 977/24, 110 00 Praha 1</t>
  </si>
  <si>
    <t>Edita Ježková</t>
  </si>
  <si>
    <t>Formulář není určen pro změnu v tomto projektu (Podpora rozvoje poskytovatelů environmentálního vzdělávání, výchovy a osvěty a environmentálního poradenství v České republice.)</t>
  </si>
  <si>
    <t>Test001</t>
  </si>
  <si>
    <t>12345678</t>
  </si>
  <si>
    <t>Sloní 15, 200 00 Kly</t>
  </si>
  <si>
    <t>Loxodonta Africana</t>
  </si>
  <si>
    <t>Reintrodukce slona afrického v Dolních Jirčanech</t>
  </si>
  <si>
    <t>ossl1</t>
  </si>
  <si>
    <t>ossl2</t>
  </si>
  <si>
    <t>oss15</t>
  </si>
  <si>
    <t>oss16</t>
  </si>
  <si>
    <t>oss17</t>
  </si>
  <si>
    <t>text6</t>
  </si>
  <si>
    <t>text7</t>
  </si>
  <si>
    <t>ossl9</t>
  </si>
  <si>
    <t>ossl10</t>
  </si>
  <si>
    <t>oss13</t>
  </si>
  <si>
    <t>oss14</t>
  </si>
  <si>
    <t>Rozpočet dotace podle požadované změny</t>
  </si>
  <si>
    <r>
      <t xml:space="preserve">V případě, že se jedná o nepodstatnou změnu, zašlete formulář na e-mail </t>
    </r>
    <r>
      <rPr>
        <b/>
        <sz val="11"/>
        <color theme="3"/>
        <rFont val="Calibri"/>
        <family val="2"/>
        <charset val="238"/>
        <scheme val="minor"/>
      </rPr>
      <t>petra.novakova@mzp.gov.cz</t>
    </r>
    <r>
      <rPr>
        <sz val="11"/>
        <rFont val="Calibri"/>
        <family val="2"/>
        <charset val="238"/>
        <scheme val="minor"/>
      </rPr>
      <t xml:space="preserve"> a vložte jej do formuláře do zprávy Změna v systému Grantys MŽP</t>
    </r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</si>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</sst>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\ &quot;Kč&quot;"/>
    <numFmt numFmtId="166" formatCode="0.0%"/>
    <numFmt numFmtId="167" formatCode="0.00000000%"/>
  </numFmts>
  <fonts count="59">
    <font>
      <sz val="10"/>
      <name val="Times New Roman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b/>
      <i/>
      <sz val="12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i"/>
      <charset val="238"/>
    </font>
    <font>
      <sz val="11"/>
      <name val="Calibi"/>
      <charset val="238"/>
    </font>
    <font>
      <sz val="10"/>
      <name val="Calibi"/>
      <charset val="238"/>
    </font>
    <font>
      <sz val="12"/>
      <name val="Calibi"/>
      <charset val="238"/>
    </font>
    <font>
      <sz val="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i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  <xf numFmtId="0" fontId="16" fillId="7" borderId="0" applyNumberFormat="0" applyBorder="0" applyAlignment="0" applyProtection="0"/>
    <xf numFmtId="0" fontId="15" fillId="8" borderId="14" applyNumberFormat="0" applyFont="0" applyAlignment="0" applyProtection="0"/>
  </cellStyleXfs>
  <cellXfs count="2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4" fillId="5" borderId="0" xfId="0" applyNumberFormat="1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1" xfId="0" applyFont="1" applyBorder="1"/>
    <xf numFmtId="0" fontId="3" fillId="0" borderId="1" xfId="0" applyFont="1" applyBorder="1"/>
    <xf numFmtId="0" fontId="11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13" fillId="5" borderId="0" xfId="0" applyFont="1" applyFill="1" applyAlignment="1">
      <alignment horizontal="left" vertical="top"/>
    </xf>
    <xf numFmtId="0" fontId="1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 applyProtection="1">
      <alignment vertical="top"/>
      <protection hidden="1"/>
    </xf>
    <xf numFmtId="165" fontId="3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 wrapText="1"/>
    </xf>
    <xf numFmtId="0" fontId="8" fillId="0" borderId="0" xfId="2" applyFont="1" applyAlignment="1">
      <alignment wrapText="1"/>
    </xf>
    <xf numFmtId="165" fontId="3" fillId="0" borderId="0" xfId="0" applyNumberFormat="1" applyFont="1" applyAlignment="1" applyProtection="1">
      <alignment vertical="top"/>
      <protection locked="0"/>
    </xf>
    <xf numFmtId="165" fontId="4" fillId="0" borderId="0" xfId="0" applyNumberFormat="1" applyFont="1" applyAlignment="1" applyProtection="1">
      <alignment vertical="top"/>
      <protection hidden="1"/>
    </xf>
    <xf numFmtId="1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center"/>
    </xf>
    <xf numFmtId="0" fontId="7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4" fillId="5" borderId="0" xfId="0" applyFont="1" applyFill="1" applyAlignment="1" applyProtection="1">
      <alignment horizontal="left" vertical="top" wrapText="1"/>
      <protection hidden="1"/>
    </xf>
    <xf numFmtId="49" fontId="4" fillId="5" borderId="0" xfId="0" applyNumberFormat="1" applyFont="1" applyFill="1" applyAlignment="1" applyProtection="1">
      <alignment horizontal="left" vertical="top" wrapText="1"/>
      <protection hidden="1"/>
    </xf>
    <xf numFmtId="0" fontId="13" fillId="5" borderId="0" xfId="0" applyFont="1" applyFill="1" applyAlignment="1" applyProtection="1">
      <alignment horizontal="left" vertical="top"/>
      <protection hidden="1"/>
    </xf>
    <xf numFmtId="49" fontId="10" fillId="0" borderId="0" xfId="0" applyNumberFormat="1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 wrapText="1"/>
      <protection hidden="1"/>
    </xf>
    <xf numFmtId="1" fontId="4" fillId="0" borderId="0" xfId="0" applyNumberFormat="1" applyFont="1" applyAlignment="1" applyProtection="1">
      <alignment vertical="top"/>
      <protection hidden="1"/>
    </xf>
    <xf numFmtId="165" fontId="4" fillId="0" borderId="0" xfId="0" applyNumberFormat="1" applyFont="1" applyAlignment="1" applyProtection="1">
      <alignment horizontal="right" vertical="top"/>
      <protection hidden="1"/>
    </xf>
    <xf numFmtId="0" fontId="9" fillId="6" borderId="0" xfId="0" applyFont="1" applyFill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hidden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20" fillId="10" borderId="16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left" vertical="top" wrapText="1"/>
    </xf>
    <xf numFmtId="14" fontId="3" fillId="6" borderId="0" xfId="0" applyNumberFormat="1" applyFont="1" applyFill="1" applyAlignment="1" applyProtection="1">
      <alignment vertical="top"/>
      <protection locked="0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49" fontId="24" fillId="6" borderId="2" xfId="0" applyNumberFormat="1" applyFont="1" applyFill="1" applyBorder="1" applyAlignment="1" applyProtection="1">
      <alignment horizontal="right" vertical="top"/>
      <protection locked="0"/>
    </xf>
    <xf numFmtId="0" fontId="25" fillId="0" borderId="0" xfId="0" quotePrefix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49" fontId="25" fillId="6" borderId="1" xfId="0" applyNumberFormat="1" applyFont="1" applyFill="1" applyBorder="1" applyAlignment="1" applyProtection="1">
      <alignment horizontal="left" vertical="top"/>
      <protection locked="0"/>
    </xf>
    <xf numFmtId="0" fontId="27" fillId="5" borderId="0" xfId="0" applyFont="1" applyFill="1" applyAlignment="1">
      <alignment horizontal="left" vertical="top"/>
    </xf>
    <xf numFmtId="0" fontId="25" fillId="5" borderId="0" xfId="0" applyFont="1" applyFill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9" fillId="0" borderId="0" xfId="1" applyFont="1" applyAlignment="1" applyProtection="1">
      <alignment vertical="top"/>
    </xf>
    <xf numFmtId="0" fontId="24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64" fontId="25" fillId="3" borderId="1" xfId="0" applyNumberFormat="1" applyFont="1" applyFill="1" applyBorder="1" applyAlignment="1">
      <alignment vertical="top" wrapText="1"/>
    </xf>
    <xf numFmtId="165" fontId="25" fillId="0" borderId="1" xfId="0" applyNumberFormat="1" applyFont="1" applyBorder="1" applyProtection="1">
      <protection hidden="1"/>
    </xf>
    <xf numFmtId="165" fontId="25" fillId="6" borderId="1" xfId="0" applyNumberFormat="1" applyFont="1" applyFill="1" applyBorder="1" applyProtection="1">
      <protection locked="0"/>
    </xf>
    <xf numFmtId="164" fontId="25" fillId="0" borderId="1" xfId="0" applyNumberFormat="1" applyFont="1" applyBorder="1" applyAlignment="1">
      <alignment vertical="top" wrapText="1"/>
    </xf>
    <xf numFmtId="164" fontId="24" fillId="0" borderId="1" xfId="0" quotePrefix="1" applyNumberFormat="1" applyFont="1" applyBorder="1" applyAlignment="1">
      <alignment vertical="top" wrapText="1"/>
    </xf>
    <xf numFmtId="0" fontId="25" fillId="3" borderId="1" xfId="0" applyFont="1" applyFill="1" applyBorder="1" applyAlignment="1">
      <alignment wrapText="1"/>
    </xf>
    <xf numFmtId="0" fontId="34" fillId="2" borderId="1" xfId="2" applyFont="1" applyFill="1" applyBorder="1" applyAlignment="1">
      <alignment wrapText="1"/>
    </xf>
    <xf numFmtId="49" fontId="24" fillId="2" borderId="1" xfId="0" applyNumberFormat="1" applyFont="1" applyFill="1" applyBorder="1" applyAlignment="1" applyProtection="1">
      <alignment horizontal="center" vertical="center"/>
      <protection hidden="1"/>
    </xf>
    <xf numFmtId="165" fontId="25" fillId="0" borderId="1" xfId="0" applyNumberFormat="1" applyFont="1" applyBorder="1" applyProtection="1">
      <protection locked="0"/>
    </xf>
    <xf numFmtId="164" fontId="35" fillId="4" borderId="1" xfId="0" applyNumberFormat="1" applyFont="1" applyFill="1" applyBorder="1" applyAlignment="1">
      <alignment vertical="top" wrapText="1"/>
    </xf>
    <xf numFmtId="165" fontId="36" fillId="4" borderId="1" xfId="0" applyNumberFormat="1" applyFont="1" applyFill="1" applyBorder="1" applyAlignment="1" applyProtection="1">
      <alignment vertical="top"/>
      <protection hidden="1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0" xfId="0" applyFont="1"/>
    <xf numFmtId="0" fontId="30" fillId="0" borderId="0" xfId="0" applyFont="1"/>
    <xf numFmtId="0" fontId="24" fillId="0" borderId="0" xfId="0" applyFont="1" applyAlignment="1">
      <alignment wrapText="1"/>
    </xf>
    <xf numFmtId="49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/>
    </xf>
    <xf numFmtId="14" fontId="25" fillId="6" borderId="0" xfId="0" applyNumberFormat="1" applyFont="1" applyFill="1" applyAlignment="1" applyProtection="1">
      <alignment vertical="top"/>
      <protection locked="0"/>
    </xf>
    <xf numFmtId="0" fontId="36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5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25" fillId="0" borderId="1" xfId="0" applyFont="1" applyBorder="1"/>
    <xf numFmtId="0" fontId="25" fillId="0" borderId="3" xfId="0" applyFont="1" applyBorder="1"/>
    <xf numFmtId="0" fontId="25" fillId="0" borderId="5" xfId="0" applyFont="1" applyBorder="1"/>
    <xf numFmtId="0" fontId="25" fillId="0" borderId="1" xfId="0" applyFont="1" applyBorder="1" applyAlignment="1">
      <alignment wrapText="1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0" fontId="37" fillId="0" borderId="0" xfId="0" applyFont="1" applyAlignment="1">
      <alignment horizontal="left"/>
    </xf>
    <xf numFmtId="0" fontId="36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0" fontId="28" fillId="5" borderId="2" xfId="0" applyFont="1" applyFill="1" applyBorder="1" applyAlignment="1">
      <alignment vertical="top"/>
    </xf>
    <xf numFmtId="0" fontId="28" fillId="5" borderId="0" xfId="0" applyFont="1" applyFill="1" applyAlignment="1">
      <alignment horizontal="center" vertical="top"/>
    </xf>
    <xf numFmtId="0" fontId="28" fillId="5" borderId="0" xfId="0" applyFont="1" applyFill="1" applyAlignment="1">
      <alignment horizontal="center" vertical="top" wrapText="1"/>
    </xf>
    <xf numFmtId="0" fontId="28" fillId="5" borderId="1" xfId="0" applyFont="1" applyFill="1" applyBorder="1" applyAlignment="1">
      <alignment horizontal="left" vertical="top"/>
    </xf>
    <xf numFmtId="0" fontId="28" fillId="5" borderId="0" xfId="0" applyFont="1" applyFill="1" applyAlignment="1">
      <alignment horizontal="left" vertical="top"/>
    </xf>
    <xf numFmtId="165" fontId="28" fillId="5" borderId="1" xfId="0" applyNumberFormat="1" applyFont="1" applyFill="1" applyBorder="1" applyAlignment="1">
      <alignment vertical="top"/>
    </xf>
    <xf numFmtId="10" fontId="28" fillId="5" borderId="1" xfId="0" applyNumberFormat="1" applyFont="1" applyFill="1" applyBorder="1" applyAlignment="1">
      <alignment vertical="top"/>
    </xf>
    <xf numFmtId="165" fontId="28" fillId="6" borderId="1" xfId="0" applyNumberFormat="1" applyFont="1" applyFill="1" applyBorder="1" applyAlignment="1" applyProtection="1">
      <alignment vertical="top"/>
      <protection locked="0"/>
    </xf>
    <xf numFmtId="0" fontId="39" fillId="0" borderId="0" xfId="0" applyFont="1" applyAlignment="1">
      <alignment vertical="top"/>
    </xf>
    <xf numFmtId="0" fontId="37" fillId="0" borderId="0" xfId="0" applyFont="1" applyAlignment="1">
      <alignment vertical="top"/>
    </xf>
    <xf numFmtId="165" fontId="25" fillId="0" borderId="0" xfId="0" applyNumberFormat="1" applyFont="1" applyAlignment="1" applyProtection="1">
      <alignment horizontal="right" vertical="top"/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top"/>
    </xf>
    <xf numFmtId="49" fontId="25" fillId="0" borderId="1" xfId="0" applyNumberFormat="1" applyFont="1" applyBorder="1" applyAlignment="1">
      <alignment horizontal="center" vertical="center"/>
    </xf>
    <xf numFmtId="0" fontId="28" fillId="6" borderId="1" xfId="0" applyFont="1" applyFill="1" applyBorder="1" applyAlignment="1" applyProtection="1">
      <alignment vertical="top"/>
      <protection locked="0"/>
    </xf>
    <xf numFmtId="49" fontId="25" fillId="0" borderId="1" xfId="0" applyNumberFormat="1" applyFont="1" applyBorder="1" applyAlignment="1">
      <alignment horizontal="center" vertical="center" wrapText="1"/>
    </xf>
    <xf numFmtId="0" fontId="25" fillId="5" borderId="0" xfId="0" applyFont="1" applyFill="1" applyAlignment="1" applyProtection="1">
      <alignment horizontal="left" vertical="top" wrapText="1"/>
      <protection hidden="1"/>
    </xf>
    <xf numFmtId="0" fontId="36" fillId="0" borderId="0" xfId="0" applyFont="1" applyAlignment="1" applyProtection="1">
      <alignment horizontal="left"/>
      <protection hidden="1"/>
    </xf>
    <xf numFmtId="0" fontId="24" fillId="0" borderId="0" xfId="0" applyFont="1" applyProtection="1">
      <protection hidden="1"/>
    </xf>
    <xf numFmtId="0" fontId="44" fillId="0" borderId="1" xfId="0" applyFont="1" applyBorder="1" applyAlignment="1">
      <alignment vertical="top" wrapText="1"/>
    </xf>
    <xf numFmtId="167" fontId="28" fillId="0" borderId="0" xfId="0" applyNumberFormat="1" applyFont="1" applyAlignment="1">
      <alignment vertical="top"/>
    </xf>
    <xf numFmtId="49" fontId="25" fillId="3" borderId="1" xfId="0" applyNumberFormat="1" applyFont="1" applyFill="1" applyBorder="1" applyAlignment="1">
      <alignment horizontal="center" vertical="center"/>
    </xf>
    <xf numFmtId="0" fontId="24" fillId="0" borderId="0" xfId="0" applyFont="1" applyProtection="1">
      <protection locked="0"/>
    </xf>
    <xf numFmtId="0" fontId="32" fillId="0" borderId="1" xfId="0" applyFont="1" applyBorder="1" applyAlignment="1">
      <alignment horizontal="center" vertical="center" wrapText="1"/>
    </xf>
    <xf numFmtId="49" fontId="24" fillId="6" borderId="2" xfId="0" applyNumberFormat="1" applyFont="1" applyFill="1" applyBorder="1" applyAlignment="1" applyProtection="1">
      <alignment horizontal="center" vertical="top"/>
      <protection locked="0"/>
    </xf>
    <xf numFmtId="0" fontId="25" fillId="6" borderId="0" xfId="0" applyFont="1" applyFill="1" applyAlignment="1" applyProtection="1">
      <alignment wrapText="1"/>
      <protection locked="0"/>
    </xf>
    <xf numFmtId="49" fontId="47" fillId="0" borderId="0" xfId="0" applyNumberFormat="1" applyFont="1" applyAlignment="1">
      <alignment horizontal="left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top" wrapText="1"/>
    </xf>
    <xf numFmtId="165" fontId="24" fillId="2" borderId="1" xfId="0" applyNumberFormat="1" applyFont="1" applyFill="1" applyBorder="1" applyAlignment="1" applyProtection="1">
      <alignment vertical="top"/>
      <protection hidden="1"/>
    </xf>
    <xf numFmtId="165" fontId="24" fillId="2" borderId="1" xfId="0" quotePrefix="1" applyNumberFormat="1" applyFont="1" applyFill="1" applyBorder="1" applyAlignment="1">
      <alignment vertical="top"/>
    </xf>
    <xf numFmtId="165" fontId="25" fillId="6" borderId="1" xfId="0" applyNumberFormat="1" applyFont="1" applyFill="1" applyBorder="1" applyAlignment="1" applyProtection="1">
      <alignment vertical="top" wrapText="1"/>
      <protection locked="0"/>
    </xf>
    <xf numFmtId="165" fontId="25" fillId="0" borderId="1" xfId="0" applyNumberFormat="1" applyFont="1" applyBorder="1" applyAlignment="1" applyProtection="1">
      <alignment vertical="top" wrapText="1"/>
      <protection locked="0"/>
    </xf>
    <xf numFmtId="165" fontId="24" fillId="2" borderId="1" xfId="0" quotePrefix="1" applyNumberFormat="1" applyFont="1" applyFill="1" applyBorder="1" applyAlignment="1" applyProtection="1">
      <alignment vertical="top" wrapText="1"/>
      <protection hidden="1"/>
    </xf>
    <xf numFmtId="164" fontId="24" fillId="2" borderId="1" xfId="0" applyNumberFormat="1" applyFont="1" applyFill="1" applyBorder="1" applyAlignment="1">
      <alignment vertical="top" wrapText="1"/>
    </xf>
    <xf numFmtId="165" fontId="24" fillId="2" borderId="1" xfId="0" quotePrefix="1" applyNumberFormat="1" applyFont="1" applyFill="1" applyBorder="1" applyAlignment="1">
      <alignment vertical="top" wrapText="1"/>
    </xf>
    <xf numFmtId="49" fontId="25" fillId="5" borderId="1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vertical="top" wrapText="1"/>
    </xf>
    <xf numFmtId="165" fontId="24" fillId="5" borderId="1" xfId="0" applyNumberFormat="1" applyFont="1" applyFill="1" applyBorder="1" applyAlignment="1" applyProtection="1">
      <alignment vertical="top"/>
      <protection hidden="1"/>
    </xf>
    <xf numFmtId="165" fontId="24" fillId="5" borderId="1" xfId="0" quotePrefix="1" applyNumberFormat="1" applyFont="1" applyFill="1" applyBorder="1" applyAlignment="1">
      <alignment vertical="top" wrapText="1"/>
    </xf>
    <xf numFmtId="165" fontId="24" fillId="0" borderId="1" xfId="0" applyNumberFormat="1" applyFont="1" applyBorder="1" applyAlignment="1" applyProtection="1">
      <alignment vertical="top"/>
      <protection hidden="1"/>
    </xf>
    <xf numFmtId="165" fontId="24" fillId="6" borderId="1" xfId="0" applyNumberFormat="1" applyFont="1" applyFill="1" applyBorder="1" applyAlignment="1" applyProtection="1">
      <alignment vertical="top"/>
      <protection locked="0"/>
    </xf>
    <xf numFmtId="0" fontId="28" fillId="3" borderId="1" xfId="0" applyFont="1" applyFill="1" applyBorder="1" applyAlignment="1">
      <alignment wrapText="1"/>
    </xf>
    <xf numFmtId="166" fontId="25" fillId="3" borderId="1" xfId="3" applyNumberFormat="1" applyFont="1" applyFill="1" applyBorder="1"/>
    <xf numFmtId="165" fontId="25" fillId="0" borderId="1" xfId="0" applyNumberFormat="1" applyFont="1" applyBorder="1" applyAlignment="1">
      <alignment vertical="top" wrapText="1"/>
    </xf>
    <xf numFmtId="49" fontId="25" fillId="4" borderId="1" xfId="0" applyNumberFormat="1" applyFont="1" applyFill="1" applyBorder="1" applyAlignment="1">
      <alignment horizontal="center" vertical="center"/>
    </xf>
    <xf numFmtId="165" fontId="36" fillId="4" borderId="1" xfId="0" quotePrefix="1" applyNumberFormat="1" applyFont="1" applyFill="1" applyBorder="1" applyAlignment="1">
      <alignment vertical="top" wrapText="1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0" fontId="28" fillId="0" borderId="1" xfId="0" applyFont="1" applyBorder="1" applyAlignment="1" applyProtection="1">
      <alignment vertical="top" wrapText="1"/>
      <protection locked="0"/>
    </xf>
    <xf numFmtId="0" fontId="28" fillId="6" borderId="1" xfId="0" applyFont="1" applyFill="1" applyBorder="1" applyAlignment="1" applyProtection="1">
      <alignment vertical="top" wrapText="1"/>
      <protection locked="0"/>
    </xf>
    <xf numFmtId="0" fontId="28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0" xfId="0" applyFont="1" applyAlignment="1">
      <alignment horizontal="justify" vertical="center"/>
    </xf>
    <xf numFmtId="0" fontId="48" fillId="0" borderId="0" xfId="0" applyFont="1" applyAlignment="1" applyProtection="1">
      <alignment horizontal="center" vertical="top"/>
      <protection locked="0"/>
    </xf>
    <xf numFmtId="0" fontId="52" fillId="0" borderId="0" xfId="0" applyFont="1" applyAlignment="1">
      <alignment vertical="top"/>
    </xf>
    <xf numFmtId="0" fontId="0" fillId="0" borderId="0" xfId="0" applyAlignment="1" applyProtection="1">
      <alignment vertical="top"/>
      <protection locked="0"/>
    </xf>
    <xf numFmtId="0" fontId="10" fillId="0" borderId="1" xfId="0" quotePrefix="1" applyFont="1" applyBorder="1"/>
    <xf numFmtId="0" fontId="44" fillId="0" borderId="1" xfId="0" applyFont="1" applyBorder="1" applyAlignment="1">
      <alignment horizontal="left" vertical="top"/>
    </xf>
    <xf numFmtId="0" fontId="44" fillId="6" borderId="1" xfId="0" applyFont="1" applyFill="1" applyBorder="1" applyAlignment="1" applyProtection="1">
      <alignment vertical="top" wrapText="1"/>
      <protection locked="0"/>
    </xf>
    <xf numFmtId="2" fontId="44" fillId="6" borderId="1" xfId="0" applyNumberFormat="1" applyFont="1" applyFill="1" applyBorder="1" applyAlignment="1" applyProtection="1">
      <alignment horizontal="left" vertical="top" wrapText="1"/>
      <protection locked="0"/>
    </xf>
    <xf numFmtId="0" fontId="10" fillId="6" borderId="1" xfId="0" applyFont="1" applyFill="1" applyBorder="1" applyAlignment="1" applyProtection="1">
      <alignment vertical="top" wrapText="1"/>
      <protection locked="0"/>
    </xf>
    <xf numFmtId="0" fontId="25" fillId="3" borderId="1" xfId="0" applyFont="1" applyFill="1" applyBorder="1" applyAlignment="1">
      <alignment vertical="center" wrapText="1"/>
    </xf>
    <xf numFmtId="165" fontId="25" fillId="0" borderId="1" xfId="0" applyNumberFormat="1" applyFont="1" applyBorder="1" applyAlignment="1" applyProtection="1">
      <alignment vertical="center"/>
      <protection hidden="1"/>
    </xf>
    <xf numFmtId="165" fontId="25" fillId="6" borderId="1" xfId="0" applyNumberFormat="1" applyFont="1" applyFill="1" applyBorder="1" applyAlignment="1" applyProtection="1">
      <alignment vertical="center"/>
      <protection locked="0"/>
    </xf>
    <xf numFmtId="165" fontId="25" fillId="6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25" fillId="3" borderId="1" xfId="0" applyNumberFormat="1" applyFont="1" applyFill="1" applyBorder="1" applyAlignment="1">
      <alignment vertical="center" wrapText="1"/>
    </xf>
    <xf numFmtId="0" fontId="38" fillId="0" borderId="0" xfId="0" applyFont="1" applyAlignment="1" applyProtection="1">
      <alignment vertical="top" wrapText="1"/>
      <protection hidden="1"/>
    </xf>
    <xf numFmtId="164" fontId="25" fillId="12" borderId="1" xfId="0" applyNumberFormat="1" applyFont="1" applyFill="1" applyBorder="1" applyAlignment="1">
      <alignment vertical="top" wrapText="1"/>
    </xf>
    <xf numFmtId="164" fontId="25" fillId="12" borderId="1" xfId="0" quotePrefix="1" applyNumberFormat="1" applyFont="1" applyFill="1" applyBorder="1" applyAlignment="1">
      <alignment vertical="top" wrapText="1"/>
    </xf>
    <xf numFmtId="0" fontId="28" fillId="12" borderId="1" xfId="0" applyFont="1" applyFill="1" applyBorder="1" applyAlignment="1">
      <alignment wrapText="1"/>
    </xf>
    <xf numFmtId="0" fontId="28" fillId="12" borderId="1" xfId="0" applyFont="1" applyFill="1" applyBorder="1" applyAlignment="1" applyProtection="1">
      <alignment wrapText="1"/>
      <protection locked="0"/>
    </xf>
    <xf numFmtId="0" fontId="53" fillId="6" borderId="1" xfId="0" applyFont="1" applyFill="1" applyBorder="1" applyAlignment="1" applyProtection="1">
      <alignment vertical="top" wrapText="1"/>
      <protection locked="0"/>
    </xf>
    <xf numFmtId="0" fontId="25" fillId="3" borderId="1" xfId="0" applyFont="1" applyFill="1" applyBorder="1" applyAlignment="1">
      <alignment horizontal="left" vertical="top" wrapText="1"/>
    </xf>
    <xf numFmtId="0" fontId="46" fillId="5" borderId="0" xfId="0" applyFont="1" applyFill="1"/>
    <xf numFmtId="0" fontId="46" fillId="5" borderId="0" xfId="5" applyFont="1" applyFill="1" applyBorder="1" applyAlignment="1"/>
    <xf numFmtId="0" fontId="46" fillId="5" borderId="0" xfId="0" applyFont="1" applyFill="1" applyAlignment="1" applyProtection="1">
      <alignment horizontal="center"/>
      <protection hidden="1"/>
    </xf>
    <xf numFmtId="0" fontId="46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/>
    </xf>
    <xf numFmtId="0" fontId="54" fillId="5" borderId="0" xfId="0" applyFont="1" applyFill="1"/>
    <xf numFmtId="0" fontId="45" fillId="5" borderId="0" xfId="4" applyFont="1" applyFill="1" applyBorder="1" applyAlignment="1"/>
    <xf numFmtId="16" fontId="54" fillId="5" borderId="0" xfId="0" quotePrefix="1" applyNumberFormat="1" applyFont="1" applyFill="1"/>
    <xf numFmtId="16" fontId="45" fillId="5" borderId="0" xfId="4" quotePrefix="1" applyNumberFormat="1" applyFont="1" applyFill="1" applyBorder="1" applyAlignment="1"/>
    <xf numFmtId="0" fontId="46" fillId="5" borderId="0" xfId="0" quotePrefix="1" applyFont="1" applyFill="1"/>
    <xf numFmtId="0" fontId="55" fillId="5" borderId="0" xfId="0" quotePrefix="1" applyFont="1" applyFill="1" applyAlignment="1">
      <alignment horizontal="left" vertical="top"/>
    </xf>
    <xf numFmtId="0" fontId="46" fillId="5" borderId="0" xfId="0" applyFont="1" applyFill="1" applyAlignment="1">
      <alignment vertical="top"/>
    </xf>
    <xf numFmtId="0" fontId="55" fillId="5" borderId="0" xfId="0" applyFont="1" applyFill="1" applyAlignment="1">
      <alignment horizontal="left" vertical="top"/>
    </xf>
    <xf numFmtId="0" fontId="55" fillId="5" borderId="0" xfId="0" applyFont="1" applyFill="1" applyAlignment="1">
      <alignment horizontal="left" vertical="center"/>
    </xf>
    <xf numFmtId="0" fontId="55" fillId="5" borderId="0" xfId="0" applyFont="1" applyFill="1" applyAlignment="1">
      <alignment horizontal="right" vertical="top"/>
    </xf>
    <xf numFmtId="164" fontId="55" fillId="5" borderId="0" xfId="0" applyNumberFormat="1" applyFont="1" applyFill="1" applyAlignment="1">
      <alignment horizontal="left" vertical="top"/>
    </xf>
    <xf numFmtId="49" fontId="55" fillId="5" borderId="0" xfId="0" quotePrefix="1" applyNumberFormat="1" applyFont="1" applyFill="1" applyAlignment="1">
      <alignment horizontal="left" vertical="top"/>
    </xf>
    <xf numFmtId="164" fontId="55" fillId="5" borderId="0" xfId="0" applyNumberFormat="1" applyFont="1" applyFill="1" applyAlignment="1">
      <alignment horizontal="right" vertical="top"/>
    </xf>
    <xf numFmtId="0" fontId="54" fillId="5" borderId="0" xfId="0" quotePrefix="1" applyFont="1" applyFill="1"/>
    <xf numFmtId="0" fontId="55" fillId="5" borderId="0" xfId="0" applyFont="1" applyFill="1"/>
    <xf numFmtId="49" fontId="55" fillId="5" borderId="0" xfId="0" applyNumberFormat="1" applyFont="1" applyFill="1" applyAlignment="1">
      <alignment horizontal="left" vertical="top"/>
    </xf>
    <xf numFmtId="0" fontId="56" fillId="5" borderId="0" xfId="0" applyFont="1" applyFill="1"/>
    <xf numFmtId="0" fontId="46" fillId="5" borderId="0" xfId="0" applyFont="1" applyFill="1" applyProtection="1">
      <protection locked="0"/>
    </xf>
    <xf numFmtId="0" fontId="54" fillId="5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0" borderId="0" xfId="0" applyFont="1"/>
    <xf numFmtId="0" fontId="46" fillId="0" borderId="0" xfId="5" applyFont="1" applyFill="1" applyBorder="1" applyAlignment="1"/>
    <xf numFmtId="0" fontId="45" fillId="0" borderId="0" xfId="4" applyFont="1" applyFill="1" applyBorder="1" applyAlignment="1"/>
    <xf numFmtId="0" fontId="46" fillId="11" borderId="0" xfId="0" applyFont="1" applyFill="1"/>
    <xf numFmtId="0" fontId="55" fillId="0" borderId="0" xfId="0" quotePrefix="1" applyFont="1" applyAlignment="1">
      <alignment horizontal="left" vertical="top"/>
    </xf>
    <xf numFmtId="0" fontId="55" fillId="0" borderId="0" xfId="0" applyFont="1" applyAlignment="1">
      <alignment horizontal="left" vertical="top"/>
    </xf>
    <xf numFmtId="49" fontId="55" fillId="0" borderId="0" xfId="0" applyNumberFormat="1" applyFont="1" applyAlignment="1">
      <alignment horizontal="left" vertical="top"/>
    </xf>
    <xf numFmtId="0" fontId="45" fillId="0" borderId="0" xfId="4" applyFont="1" applyFill="1" applyAlignment="1"/>
    <xf numFmtId="0" fontId="46" fillId="0" borderId="0" xfId="0" quotePrefix="1" applyFont="1"/>
    <xf numFmtId="0" fontId="54" fillId="0" borderId="0" xfId="0" applyFont="1"/>
    <xf numFmtId="0" fontId="54" fillId="0" borderId="0" xfId="0" quotePrefix="1" applyFont="1"/>
    <xf numFmtId="164" fontId="55" fillId="0" borderId="0" xfId="0" applyNumberFormat="1" applyFont="1" applyAlignment="1">
      <alignment horizontal="left" vertical="top"/>
    </xf>
    <xf numFmtId="164" fontId="55" fillId="0" borderId="0" xfId="0" applyNumberFormat="1" applyFont="1" applyAlignment="1">
      <alignment horizontal="right" vertical="top"/>
    </xf>
    <xf numFmtId="0" fontId="55" fillId="0" borderId="0" xfId="0" applyFont="1" applyAlignment="1">
      <alignment horizontal="right" vertical="top"/>
    </xf>
    <xf numFmtId="0" fontId="57" fillId="0" borderId="0" xfId="0" applyFont="1" applyAlignment="1">
      <alignment vertical="top"/>
    </xf>
    <xf numFmtId="0" fontId="25" fillId="0" borderId="1" xfId="0" applyFont="1" applyBorder="1" applyAlignment="1">
      <alignment horizontal="left" vertical="top"/>
    </xf>
    <xf numFmtId="0" fontId="28" fillId="5" borderId="3" xfId="0" applyFont="1" applyFill="1" applyBorder="1" applyAlignment="1" applyProtection="1">
      <alignment horizontal="left" vertical="top" wrapText="1"/>
      <protection hidden="1"/>
    </xf>
    <xf numFmtId="0" fontId="28" fillId="5" borderId="4" xfId="0" applyFont="1" applyFill="1" applyBorder="1" applyAlignment="1" applyProtection="1">
      <alignment horizontal="left" vertical="top" wrapText="1"/>
      <protection hidden="1"/>
    </xf>
    <xf numFmtId="0" fontId="28" fillId="5" borderId="5" xfId="0" applyFont="1" applyFill="1" applyBorder="1" applyAlignment="1" applyProtection="1">
      <alignment horizontal="left" vertical="top" wrapText="1"/>
      <protection hidden="1"/>
    </xf>
    <xf numFmtId="0" fontId="28" fillId="5" borderId="3" xfId="0" applyFont="1" applyFill="1" applyBorder="1" applyAlignment="1">
      <alignment vertical="top" wrapText="1"/>
    </xf>
    <xf numFmtId="0" fontId="28" fillId="5" borderId="4" xfId="0" applyFont="1" applyFill="1" applyBorder="1" applyAlignment="1">
      <alignment vertical="top" wrapText="1"/>
    </xf>
    <xf numFmtId="0" fontId="28" fillId="5" borderId="5" xfId="0" applyFont="1" applyFill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/>
    </xf>
    <xf numFmtId="0" fontId="25" fillId="5" borderId="0" xfId="0" applyFont="1" applyFill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8" fillId="5" borderId="1" xfId="0" applyFont="1" applyFill="1" applyBorder="1" applyAlignment="1">
      <alignment horizontal="left" vertical="top" wrapText="1"/>
    </xf>
    <xf numFmtId="0" fontId="28" fillId="6" borderId="6" xfId="0" applyFont="1" applyFill="1" applyBorder="1" applyAlignment="1" applyProtection="1">
      <alignment horizontal="left" vertical="top" wrapText="1"/>
      <protection locked="0"/>
    </xf>
    <xf numFmtId="0" fontId="28" fillId="6" borderId="7" xfId="0" applyFont="1" applyFill="1" applyBorder="1" applyAlignment="1" applyProtection="1">
      <alignment horizontal="left" vertical="top" wrapText="1"/>
      <protection locked="0"/>
    </xf>
    <xf numFmtId="0" fontId="28" fillId="6" borderId="8" xfId="0" applyFont="1" applyFill="1" applyBorder="1" applyAlignment="1" applyProtection="1">
      <alignment horizontal="left" vertical="top" wrapText="1"/>
      <protection locked="0"/>
    </xf>
    <xf numFmtId="0" fontId="28" fillId="6" borderId="9" xfId="0" applyFont="1" applyFill="1" applyBorder="1" applyAlignment="1" applyProtection="1">
      <alignment horizontal="left" vertical="top" wrapText="1"/>
      <protection locked="0"/>
    </xf>
    <xf numFmtId="0" fontId="28" fillId="6" borderId="0" xfId="0" applyFont="1" applyFill="1" applyAlignment="1" applyProtection="1">
      <alignment horizontal="left" vertical="top" wrapText="1"/>
      <protection locked="0"/>
    </xf>
    <xf numFmtId="0" fontId="28" fillId="6" borderId="10" xfId="0" applyFont="1" applyFill="1" applyBorder="1" applyAlignment="1" applyProtection="1">
      <alignment horizontal="left" vertical="top" wrapText="1"/>
      <protection locked="0"/>
    </xf>
    <xf numFmtId="0" fontId="28" fillId="6" borderId="11" xfId="0" applyFont="1" applyFill="1" applyBorder="1" applyAlignment="1" applyProtection="1">
      <alignment horizontal="left" vertical="top" wrapText="1"/>
      <protection locked="0"/>
    </xf>
    <xf numFmtId="0" fontId="28" fillId="6" borderId="12" xfId="0" applyFont="1" applyFill="1" applyBorder="1" applyAlignment="1" applyProtection="1">
      <alignment horizontal="left" vertical="top" wrapText="1"/>
      <protection locked="0"/>
    </xf>
    <xf numFmtId="0" fontId="28" fillId="6" borderId="13" xfId="0" applyFont="1" applyFill="1" applyBorder="1" applyAlignment="1" applyProtection="1">
      <alignment horizontal="left" vertical="top" wrapText="1"/>
      <protection locked="0"/>
    </xf>
    <xf numFmtId="0" fontId="28" fillId="5" borderId="0" xfId="0" applyFont="1" applyFill="1" applyAlignment="1">
      <alignment horizontal="left" vertical="top"/>
    </xf>
    <xf numFmtId="0" fontId="40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horizontal="left" wrapText="1"/>
      <protection hidden="1"/>
    </xf>
    <xf numFmtId="0" fontId="41" fillId="0" borderId="0" xfId="0" applyFont="1" applyAlignment="1" applyProtection="1">
      <alignment horizontal="left" vertical="top" wrapText="1"/>
      <protection hidden="1"/>
    </xf>
    <xf numFmtId="0" fontId="43" fillId="0" borderId="0" xfId="0" applyFont="1" applyAlignment="1" applyProtection="1">
      <alignment vertical="top" wrapText="1"/>
      <protection hidden="1"/>
    </xf>
    <xf numFmtId="0" fontId="25" fillId="5" borderId="0" xfId="0" applyFont="1" applyFill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/>
      <protection hidden="1"/>
    </xf>
    <xf numFmtId="164" fontId="25" fillId="6" borderId="1" xfId="0" applyNumberFormat="1" applyFont="1" applyFill="1" applyBorder="1" applyAlignment="1" applyProtection="1">
      <alignment horizontal="left" vertical="top" wrapText="1"/>
      <protection locked="0"/>
    </xf>
    <xf numFmtId="0" fontId="13" fillId="5" borderId="0" xfId="0" applyFont="1" applyFill="1" applyAlignment="1" applyProtection="1">
      <alignment horizontal="left" vertical="top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left" vertical="top" wrapText="1"/>
      <protection hidden="1"/>
    </xf>
    <xf numFmtId="0" fontId="17" fillId="0" borderId="0" xfId="0" applyFont="1" applyAlignment="1">
      <alignment vertical="center"/>
    </xf>
  </cellXfs>
  <cellStyles count="6">
    <cellStyle name="Hypertextový odkaz" xfId="1" builtinId="8"/>
    <cellStyle name="Neutrální" xfId="4" builtinId="28"/>
    <cellStyle name="Normální" xfId="0" builtinId="0"/>
    <cellStyle name="normální_Sešit1" xfId="2" xr:uid="{00000000-0005-0000-0000-000003000000}"/>
    <cellStyle name="Poznámka" xfId="5" builtinId="10"/>
    <cellStyle name="Procenta" xfId="3" builtinId="5"/>
  </cellStyles>
  <dxfs count="44">
    <dxf>
      <font>
        <color theme="0"/>
      </font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strike val="0"/>
        <condense val="0"/>
        <extend val="0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 style="thin">
          <color auto="1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ndense val="0"/>
        <extend val="0"/>
      </font>
      <fill>
        <patternFill>
          <bgColor indexed="10"/>
        </patternFill>
      </fill>
    </dxf>
    <dxf>
      <font>
        <strike val="0"/>
        <condense val="0"/>
        <extend val="0"/>
      </font>
      <fill>
        <patternFill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theme="6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top" textRotation="0" wrapText="1" indent="0" justifyLastLine="0" shrinkToFit="0" readingOrder="0"/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10:D11" insertRow="1" totalsRowShown="0" headerRowDxfId="43" dataDxfId="42">
  <autoFilter ref="A10:D11" xr:uid="{00000000-0009-0000-0100-000002000000}"/>
  <tableColumns count="4">
    <tableColumn id="1" xr3:uid="{00000000-0010-0000-0000-000001000000}" name="Sloupec1" dataDxfId="41"/>
    <tableColumn id="2" xr3:uid="{00000000-0010-0000-0000-000002000000}" name="Sloupec2" dataDxfId="40"/>
    <tableColumn id="3" xr3:uid="{00000000-0010-0000-0000-000003000000}" name="Sloupec3" dataDxfId="39">
      <calculatedColumnFormula>VLOOKUP(CONCATENATE("MIZPP",'Projekt a žadatel'!$C$4,'Projekt a žadatel'!$C$7),DB_rozpočtů!A$4:GA$53,98+(A11-1)*3,FALSE)</calculatedColumnFormula>
    </tableColumn>
    <tableColumn id="4" xr3:uid="{00000000-0010-0000-0000-000004000000}" name="Sloupec4" dataDxfId="38">
      <calculatedColumnFormula>VLOOKUP(CONCATENATE("MIZPP",'Projekt a žadatel'!$C$4,'Projekt a žadatel'!$C$7),DB_rozpočtů!A$4:GA$53,99+(A11-1)*3,FALSE)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73"/>
  <sheetViews>
    <sheetView showGridLines="0" tabSelected="1" workbookViewId="0">
      <selection activeCell="C7" sqref="C7"/>
    </sheetView>
  </sheetViews>
  <sheetFormatPr defaultColWidth="9.33203125" defaultRowHeight="12.75"/>
  <cols>
    <col min="1" max="1" width="9.33203125" style="16"/>
    <col min="2" max="2" width="41.33203125" style="16" customWidth="1"/>
    <col min="3" max="3" width="39" style="16" customWidth="1"/>
    <col min="4" max="4" width="21.1640625" style="16" customWidth="1"/>
    <col min="5" max="5" width="28.83203125" style="16" customWidth="1"/>
    <col min="6" max="16384" width="9.33203125" style="16"/>
  </cols>
  <sheetData>
    <row r="1" spans="1:8" ht="50.25" customHeight="1">
      <c r="A1" s="70" t="s">
        <v>507</v>
      </c>
      <c r="H1" s="166" t="s">
        <v>1138</v>
      </c>
    </row>
    <row r="2" spans="1:8" ht="50.25" customHeight="1">
      <c r="A2" s="227" t="s">
        <v>503</v>
      </c>
      <c r="G2" s="167"/>
    </row>
    <row r="3" spans="1:8" ht="20.25" customHeight="1">
      <c r="A3" s="119" t="s">
        <v>225</v>
      </c>
      <c r="C3" s="131" t="s">
        <v>226</v>
      </c>
    </row>
    <row r="4" spans="1:8" ht="23.25">
      <c r="A4" s="57" t="s">
        <v>178</v>
      </c>
      <c r="B4" s="58"/>
      <c r="C4" s="59"/>
      <c r="D4" s="60" t="str">
        <f>IF(C3&lt;&gt;"A",CONCATENATE("/32/25",C3),"/32/25")</f>
        <v>/32/25</v>
      </c>
      <c r="E4" s="61" t="str">
        <f>IF(AND(LEN(C4)&gt;0,LEN(C4)&lt;&gt;3),"První část čísla rozhodnutí je třímístné číslo s případnými předsazenými nulami","")</f>
        <v/>
      </c>
    </row>
    <row r="5" spans="1:8" ht="40.5" customHeight="1">
      <c r="A5" s="57" t="s">
        <v>3</v>
      </c>
      <c r="B5" s="58"/>
      <c r="C5" s="229" t="str">
        <f>IF(ISNA(VLOOKUP(CONCATENATE("MIZPP",C4,C7,C3),DB_rozpočtů!A3:DE80,25,FALSE)),"",VLOOKUP(CONCATENATE("MIZPP",C4,C7,C3),DB_rozpočtů!A3:DE80,25,FALSE))</f>
        <v/>
      </c>
      <c r="D5" s="230"/>
      <c r="E5" s="231"/>
      <c r="F5" s="103" t="str">
        <f>IF(C5="","Hodnoty nebyly načteny - zadejte číslo projektu, podprogram a vaše IČ","")</f>
        <v>Hodnoty nebyly načteny - zadejte číslo projektu, podprogram a vaše IČ</v>
      </c>
    </row>
    <row r="6" spans="1:8" ht="48.75" customHeight="1">
      <c r="A6" s="57" t="s">
        <v>31</v>
      </c>
      <c r="B6" s="58"/>
      <c r="C6" s="232" t="str">
        <f>IF(ISNA(VLOOKUP(CONCATENATE("MIZPP",C4,C7,C3),DB_rozpočtů!A3:DE80,13,FALSE)),"",CONCATENATE(VLOOKUP(CONCATENATE("MIZPP",C4,C7,C3),DB_rozpočtů!A3:DE80,4,FALSE),", ",VLOOKUP(CONCATENATE("MIZPP",C4,C7,C3),DB_rozpočtů!A3:DE80,13,FALSE)))</f>
        <v/>
      </c>
      <c r="D6" s="233"/>
      <c r="E6" s="234"/>
      <c r="F6" s="103" t="str">
        <f>IF(C6="","Hodnoty nebyly načteny - zadejte číslo projektu, podprogram a vaše IČ","")</f>
        <v>Hodnoty nebyly načteny - zadejte číslo projektu, podprogram a vaše IČ</v>
      </c>
    </row>
    <row r="7" spans="1:8" ht="26.25" customHeight="1">
      <c r="A7" s="235" t="s">
        <v>207</v>
      </c>
      <c r="B7" s="236"/>
      <c r="C7" s="62"/>
      <c r="D7" s="63" t="s">
        <v>90</v>
      </c>
      <c r="E7" s="64"/>
    </row>
    <row r="8" spans="1:8">
      <c r="A8" s="65"/>
      <c r="B8" s="65"/>
      <c r="C8" s="65"/>
      <c r="D8" s="65"/>
      <c r="E8" s="65"/>
    </row>
    <row r="9" spans="1:8">
      <c r="A9" s="65"/>
      <c r="B9" s="65"/>
      <c r="C9" s="65"/>
      <c r="D9" s="65"/>
      <c r="E9" s="65"/>
    </row>
    <row r="10" spans="1:8">
      <c r="A10" s="65"/>
      <c r="B10" s="65"/>
      <c r="C10" s="65"/>
      <c r="D10" s="65"/>
      <c r="E10" s="65"/>
    </row>
    <row r="11" spans="1:8" ht="15.75">
      <c r="A11" s="57" t="s">
        <v>44</v>
      </c>
      <c r="B11" s="65"/>
      <c r="C11" s="65"/>
      <c r="D11" s="65"/>
      <c r="E11" s="65"/>
    </row>
    <row r="12" spans="1:8">
      <c r="A12" s="65"/>
      <c r="B12" s="65"/>
      <c r="C12" s="65"/>
      <c r="D12" s="65"/>
      <c r="E12" s="65"/>
    </row>
    <row r="13" spans="1:8" ht="15">
      <c r="A13" s="66" t="s">
        <v>46</v>
      </c>
      <c r="B13" s="65"/>
      <c r="C13" s="65"/>
      <c r="D13" s="65"/>
      <c r="E13" s="65"/>
    </row>
    <row r="14" spans="1:8">
      <c r="A14" s="65"/>
      <c r="B14" s="65"/>
      <c r="C14" s="65"/>
      <c r="D14" s="65"/>
      <c r="E14" s="65"/>
    </row>
    <row r="15" spans="1:8" ht="15">
      <c r="A15" s="65"/>
      <c r="B15" s="67" t="s">
        <v>45</v>
      </c>
      <c r="C15" s="65"/>
      <c r="D15" s="65"/>
      <c r="E15" s="65"/>
    </row>
    <row r="16" spans="1:8" ht="15">
      <c r="A16" s="65"/>
      <c r="B16" s="67" t="s">
        <v>33</v>
      </c>
      <c r="C16" s="65"/>
      <c r="D16" s="65"/>
      <c r="E16" s="65"/>
    </row>
    <row r="17" spans="1:6" ht="15">
      <c r="A17" s="65"/>
      <c r="B17" s="67" t="s">
        <v>91</v>
      </c>
      <c r="C17" s="65"/>
      <c r="D17" s="65"/>
      <c r="E17" s="65"/>
    </row>
    <row r="18" spans="1:6">
      <c r="A18" s="65"/>
      <c r="B18" s="65"/>
      <c r="C18" s="65"/>
      <c r="D18" s="65"/>
      <c r="E18" s="65"/>
    </row>
    <row r="19" spans="1:6" ht="15">
      <c r="A19" s="68" t="s">
        <v>47</v>
      </c>
      <c r="B19" s="65"/>
      <c r="C19" s="65"/>
      <c r="D19" s="65"/>
      <c r="E19" s="65"/>
    </row>
    <row r="20" spans="1:6" ht="15.75">
      <c r="A20" s="57" t="s">
        <v>503</v>
      </c>
      <c r="B20" s="65"/>
      <c r="C20" s="65"/>
      <c r="D20" s="65"/>
      <c r="E20" s="65"/>
    </row>
    <row r="21" spans="1:6" ht="15">
      <c r="A21" s="66" t="s">
        <v>157</v>
      </c>
      <c r="B21" s="65"/>
      <c r="C21" s="65"/>
      <c r="D21" s="65"/>
      <c r="E21" s="65"/>
    </row>
    <row r="22" spans="1:6">
      <c r="A22" s="65"/>
      <c r="B22" s="65"/>
      <c r="C22" s="65"/>
      <c r="D22" s="65"/>
      <c r="E22" s="114" t="str">
        <f>IF(D23="ANO","Bylo vám vydáno Změnové rozhodnutí?","")</f>
        <v>Bylo vám vydáno Změnové rozhodnutí?</v>
      </c>
    </row>
    <row r="23" spans="1:6" ht="15">
      <c r="A23" s="65"/>
      <c r="B23" s="228" t="s">
        <v>48</v>
      </c>
      <c r="C23" s="228"/>
      <c r="D23" s="121" t="s">
        <v>1179</v>
      </c>
      <c r="E23" s="165" t="s">
        <v>331</v>
      </c>
      <c r="F23" s="103" t="str">
        <f>IF(D23="ANO","Pokud vám bylo vydáno změnové rozhodnutí, vyberte ANO, v opačném případě vyberte NE","")</f>
        <v>Pokud vám bylo vydáno změnové rozhodnutí, vyberte ANO, v opačném případě vyberte NE</v>
      </c>
    </row>
    <row r="24" spans="1:6" ht="15">
      <c r="A24" s="65"/>
      <c r="B24" s="228" t="s">
        <v>80</v>
      </c>
      <c r="C24" s="228"/>
      <c r="D24" s="121" t="s">
        <v>1179</v>
      </c>
      <c r="E24" s="65"/>
    </row>
    <row r="25" spans="1:6" ht="15">
      <c r="A25" s="65"/>
      <c r="B25" s="228" t="s">
        <v>92</v>
      </c>
      <c r="C25" s="228"/>
      <c r="D25" s="121" t="s">
        <v>1179</v>
      </c>
      <c r="E25" s="65"/>
    </row>
    <row r="26" spans="1:6">
      <c r="A26" s="65"/>
      <c r="B26" s="65"/>
      <c r="C26" s="65"/>
      <c r="D26" s="65"/>
      <c r="E26" s="65"/>
    </row>
    <row r="27" spans="1:6" ht="15">
      <c r="A27" s="66" t="s">
        <v>164</v>
      </c>
      <c r="B27" s="65"/>
      <c r="C27" s="65"/>
      <c r="D27" s="65"/>
      <c r="E27" s="65"/>
    </row>
    <row r="28" spans="1:6" ht="15">
      <c r="A28" s="66"/>
      <c r="B28" s="65"/>
      <c r="C28" s="65"/>
      <c r="D28" s="65"/>
      <c r="E28" s="65"/>
    </row>
    <row r="29" spans="1:6" ht="15">
      <c r="A29" s="69" t="s">
        <v>209</v>
      </c>
      <c r="B29" s="65"/>
      <c r="C29" s="65"/>
      <c r="D29" s="65"/>
      <c r="E29" s="65"/>
    </row>
    <row r="30" spans="1:6">
      <c r="A30" s="65"/>
      <c r="B30" s="65"/>
      <c r="C30" s="65"/>
      <c r="D30" s="65"/>
      <c r="E30" s="65"/>
    </row>
    <row r="31" spans="1:6" ht="15.75">
      <c r="A31" s="57" t="s">
        <v>49</v>
      </c>
      <c r="B31" s="65"/>
      <c r="C31" s="65"/>
      <c r="D31" s="65"/>
      <c r="E31" s="65"/>
    </row>
    <row r="32" spans="1:6">
      <c r="A32" s="65"/>
      <c r="B32" s="65"/>
      <c r="C32" s="65"/>
      <c r="D32" s="65"/>
      <c r="E32" s="65"/>
    </row>
    <row r="33" spans="1:5" ht="15">
      <c r="A33" s="68" t="s">
        <v>330</v>
      </c>
      <c r="B33" s="66"/>
      <c r="C33" s="65"/>
      <c r="D33" s="65"/>
      <c r="E33" s="65"/>
    </row>
    <row r="34" spans="1:5" ht="15">
      <c r="A34" s="68"/>
      <c r="B34" s="66" t="s">
        <v>332</v>
      </c>
      <c r="C34" s="65"/>
      <c r="D34" s="65"/>
      <c r="E34" s="65"/>
    </row>
    <row r="35" spans="1:5" ht="15">
      <c r="A35" s="66"/>
      <c r="B35" s="66" t="s">
        <v>335</v>
      </c>
      <c r="C35" s="65"/>
      <c r="D35" s="65"/>
      <c r="E35" s="65"/>
    </row>
    <row r="36" spans="1:5" ht="15">
      <c r="A36" s="66"/>
      <c r="B36" s="66" t="s">
        <v>336</v>
      </c>
      <c r="C36" s="65"/>
      <c r="D36" s="65"/>
      <c r="E36" s="65"/>
    </row>
    <row r="37" spans="1:5" ht="15">
      <c r="A37" s="66"/>
      <c r="B37" s="66" t="s">
        <v>206</v>
      </c>
      <c r="C37" s="65"/>
      <c r="D37" s="65"/>
      <c r="E37" s="65"/>
    </row>
    <row r="38" spans="1:5" ht="15">
      <c r="A38" s="66"/>
      <c r="B38" s="66" t="s">
        <v>1178</v>
      </c>
      <c r="C38" s="65"/>
      <c r="D38" s="65"/>
      <c r="E38" s="65"/>
    </row>
    <row r="39" spans="1:5" ht="15">
      <c r="A39" s="66"/>
      <c r="B39" s="68" t="s">
        <v>132</v>
      </c>
      <c r="C39" s="65"/>
      <c r="D39" s="65"/>
      <c r="E39" s="65"/>
    </row>
    <row r="41" spans="1:5" ht="15">
      <c r="A41" s="68" t="s">
        <v>337</v>
      </c>
    </row>
    <row r="42" spans="1:5" ht="15">
      <c r="B42" s="66" t="s">
        <v>333</v>
      </c>
    </row>
    <row r="43" spans="1:5" ht="15">
      <c r="B43" s="66" t="s">
        <v>334</v>
      </c>
    </row>
    <row r="44" spans="1:5" ht="15">
      <c r="B44" s="66" t="s">
        <v>335</v>
      </c>
    </row>
    <row r="45" spans="1:5" ht="15">
      <c r="B45" s="66" t="s">
        <v>336</v>
      </c>
    </row>
    <row r="46" spans="1:5" ht="15">
      <c r="B46" s="66" t="s">
        <v>206</v>
      </c>
    </row>
    <row r="47" spans="1:5" ht="15">
      <c r="B47" s="66" t="s">
        <v>1178</v>
      </c>
    </row>
    <row r="48" spans="1:5" ht="15">
      <c r="B48" s="68" t="s">
        <v>132</v>
      </c>
    </row>
    <row r="50" spans="1:5" ht="15">
      <c r="A50" s="68" t="s">
        <v>93</v>
      </c>
      <c r="B50" s="66"/>
      <c r="C50" s="65"/>
      <c r="D50" s="65"/>
      <c r="E50" s="65"/>
    </row>
    <row r="51" spans="1:5" ht="15">
      <c r="A51" s="66"/>
      <c r="B51" s="66" t="s">
        <v>50</v>
      </c>
      <c r="C51" s="65"/>
      <c r="D51" s="65"/>
      <c r="E51" s="65"/>
    </row>
    <row r="52" spans="1:5" ht="15">
      <c r="A52" s="66"/>
      <c r="B52" s="68" t="s">
        <v>208</v>
      </c>
      <c r="C52" s="65"/>
      <c r="D52" s="65"/>
      <c r="E52" s="65"/>
    </row>
    <row r="53" spans="1:5" ht="15">
      <c r="A53" s="66"/>
      <c r="B53" s="66" t="s">
        <v>165</v>
      </c>
      <c r="C53" s="65"/>
      <c r="D53" s="65"/>
      <c r="E53" s="65"/>
    </row>
    <row r="54" spans="1:5">
      <c r="A54" s="65"/>
      <c r="C54" s="65"/>
      <c r="D54" s="65"/>
      <c r="E54" s="65"/>
    </row>
    <row r="55" spans="1:5">
      <c r="A55" s="65"/>
      <c r="B55" s="65"/>
      <c r="C55" s="65"/>
      <c r="D55" s="65"/>
      <c r="E55" s="65"/>
    </row>
    <row r="56" spans="1:5" ht="15">
      <c r="A56" s="68" t="s">
        <v>130</v>
      </c>
      <c r="B56" s="65"/>
      <c r="C56" s="65"/>
      <c r="D56" s="65"/>
      <c r="E56" s="65"/>
    </row>
    <row r="57" spans="1:5" ht="15">
      <c r="A57" s="65"/>
      <c r="B57" s="66" t="s">
        <v>128</v>
      </c>
      <c r="C57" s="65"/>
      <c r="D57" s="65"/>
      <c r="E57" s="65"/>
    </row>
    <row r="58" spans="1:5" ht="15">
      <c r="A58" s="65"/>
      <c r="B58" s="66" t="s">
        <v>129</v>
      </c>
      <c r="C58" s="65"/>
      <c r="D58" s="65"/>
      <c r="E58" s="65"/>
    </row>
    <row r="59" spans="1:5" ht="15">
      <c r="A59" s="65"/>
      <c r="B59" s="66" t="s">
        <v>502</v>
      </c>
      <c r="C59" s="65"/>
      <c r="D59" s="65"/>
      <c r="E59" s="65"/>
    </row>
    <row r="60" spans="1:5" ht="15">
      <c r="A60" s="65"/>
      <c r="B60" s="66" t="s">
        <v>131</v>
      </c>
      <c r="C60" s="65"/>
      <c r="D60" s="65"/>
      <c r="E60" s="65"/>
    </row>
    <row r="61" spans="1:5" ht="15">
      <c r="A61" s="69" t="s">
        <v>508</v>
      </c>
      <c r="B61" s="65"/>
      <c r="C61" s="65"/>
      <c r="D61" s="65"/>
      <c r="E61" s="65"/>
    </row>
    <row r="62" spans="1:5">
      <c r="A62" s="65"/>
      <c r="B62" s="65"/>
      <c r="C62" s="65"/>
      <c r="D62" s="65"/>
      <c r="E62" s="65"/>
    </row>
    <row r="63" spans="1:5">
      <c r="A63" s="65"/>
      <c r="B63" s="65"/>
      <c r="C63" s="65"/>
      <c r="D63" s="65"/>
      <c r="E63" s="65"/>
    </row>
    <row r="64" spans="1:5">
      <c r="A64" s="65"/>
      <c r="B64" s="65"/>
      <c r="C64" s="65"/>
      <c r="D64" s="65"/>
      <c r="E64" s="65"/>
    </row>
    <row r="65" spans="1:5">
      <c r="A65" s="65"/>
      <c r="B65" s="65"/>
      <c r="C65" s="65"/>
      <c r="D65" s="65"/>
      <c r="E65" s="65"/>
    </row>
    <row r="66" spans="1:5">
      <c r="A66" s="65"/>
      <c r="B66" s="65"/>
      <c r="C66" s="65"/>
      <c r="D66" s="65"/>
      <c r="E66" s="65"/>
    </row>
    <row r="67" spans="1:5">
      <c r="A67" s="65"/>
      <c r="B67" s="65"/>
      <c r="C67" s="65"/>
      <c r="D67" s="65"/>
      <c r="E67" s="65"/>
    </row>
    <row r="68" spans="1:5">
      <c r="A68" s="65"/>
      <c r="B68" s="65"/>
      <c r="C68" s="65"/>
      <c r="D68" s="65"/>
      <c r="E68" s="65"/>
    </row>
    <row r="69" spans="1:5">
      <c r="A69" s="65"/>
      <c r="B69" s="65"/>
      <c r="C69" s="65"/>
      <c r="D69" s="65"/>
      <c r="E69" s="65"/>
    </row>
    <row r="70" spans="1:5">
      <c r="A70" s="65"/>
      <c r="B70" s="65"/>
      <c r="C70" s="65"/>
      <c r="D70" s="65"/>
      <c r="E70" s="65"/>
    </row>
    <row r="71" spans="1:5">
      <c r="A71" s="65"/>
      <c r="B71" s="65"/>
      <c r="C71" s="65"/>
      <c r="D71" s="65"/>
      <c r="E71" s="65"/>
    </row>
    <row r="72" spans="1:5">
      <c r="A72" s="65"/>
      <c r="B72" s="65"/>
      <c r="C72" s="65"/>
      <c r="D72" s="65"/>
      <c r="E72" s="65"/>
    </row>
    <row r="73" spans="1:5">
      <c r="A73" s="65"/>
      <c r="B73" s="65"/>
      <c r="C73" s="65"/>
      <c r="D73" s="65"/>
      <c r="E73" s="65"/>
    </row>
  </sheetData>
  <sheetProtection algorithmName="SHA-512" hashValue="UTeeNKfFYjQLYzCkFytwjs3wAr4v4HawBslAM9T7oTwjxlpjtcIlyS/aOo8ILvimlkFKPp5/yLgEQ7KmryBsRw==" saltValue="DJNJX9Ym/oyAhrgBqxw9jQ==" spinCount="100000" sheet="1" objects="1" scenarios="1" selectLockedCells="1"/>
  <mergeCells count="6">
    <mergeCell ref="B25:C25"/>
    <mergeCell ref="C5:E5"/>
    <mergeCell ref="C6:E6"/>
    <mergeCell ref="B23:C23"/>
    <mergeCell ref="B24:C24"/>
    <mergeCell ref="A7:B7"/>
  </mergeCells>
  <conditionalFormatting sqref="E23">
    <cfRule type="expression" dxfId="37" priority="1">
      <formula>$D$23="ANO"</formula>
    </cfRule>
  </conditionalFormatting>
  <dataValidations count="2">
    <dataValidation type="list" allowBlank="1" showInputMessage="1" showErrorMessage="1" sqref="D23:D25 E23" xr:uid="{00000000-0002-0000-0000-000000000000}">
      <formula1>"ANO,NE"</formula1>
    </dataValidation>
    <dataValidation type="list" allowBlank="1" showInputMessage="1" showErrorMessage="1" sqref="C3" xr:uid="{00000000-0002-0000-0000-000001000000}">
      <formula1>"A,B,C"</formula1>
    </dataValidation>
  </dataValidations>
  <hyperlinks>
    <hyperlink ref="B15" location="'Žádost o změnu rozpočtu'!A1" display="Žádost o změnu rozpočtu" xr:uid="{00000000-0004-0000-0000-000000000000}"/>
    <hyperlink ref="B16" location="'Žádost o změnu procenta'!A1" display="Žádost o změnu procentního podílu dotace" xr:uid="{00000000-0004-0000-0000-000001000000}"/>
    <hyperlink ref="B17" location="'Žádost o změnu indikátorů'!A1" display="Žádost o změnu závazných indikátorů projektu" xr:uid="{00000000-0004-0000-0000-000002000000}"/>
  </hyperlinks>
  <pageMargins left="0.7" right="0.7" top="0.78740157499999996" bottom="0.78740157499999996" header="0.3" footer="0.3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K84"/>
  <sheetViews>
    <sheetView showGridLines="0" topLeftCell="A57" zoomScale="85" zoomScaleNormal="85" workbookViewId="0">
      <selection activeCell="B74" sqref="B74"/>
    </sheetView>
  </sheetViews>
  <sheetFormatPr defaultColWidth="9.33203125" defaultRowHeight="15"/>
  <cols>
    <col min="1" max="1" width="8.6640625" style="5" customWidth="1"/>
    <col min="2" max="2" width="55.33203125" style="3" customWidth="1"/>
    <col min="3" max="3" width="24" style="1" customWidth="1"/>
    <col min="4" max="4" width="21.1640625" style="1" customWidth="1"/>
    <col min="5" max="5" width="48.83203125" style="10" customWidth="1"/>
    <col min="6" max="6" width="23" style="1" hidden="1" customWidth="1"/>
    <col min="7" max="10" width="9.33203125" style="1" hidden="1" customWidth="1"/>
    <col min="11" max="11" width="32.1640625" style="1" customWidth="1"/>
    <col min="12" max="16384" width="9.33203125" style="1"/>
  </cols>
  <sheetData>
    <row r="1" spans="1:11" ht="17.25" customHeight="1">
      <c r="A1" s="90" t="e">
        <f>IF(F82=0,"Oznámení nepodstatné změny rozpočtu","Žádost o provedení podstatné změny rozpočtu")</f>
        <v>#N/A</v>
      </c>
      <c r="B1" s="4"/>
      <c r="D1" s="2"/>
      <c r="E1" s="9"/>
    </row>
    <row r="2" spans="1:11" ht="23.25">
      <c r="A2" s="91" t="s">
        <v>30</v>
      </c>
      <c r="B2" s="92"/>
      <c r="C2" s="93" t="str">
        <f>CONCATENATE('Projekt a žadatel'!C4,'Projekt a žadatel'!D4)</f>
        <v>/32/25</v>
      </c>
      <c r="D2" s="93"/>
      <c r="E2" s="93"/>
    </row>
    <row r="3" spans="1:11" ht="23.25">
      <c r="A3" s="91" t="s">
        <v>338</v>
      </c>
      <c r="B3" s="92"/>
      <c r="C3" s="93" t="str">
        <f>+'Projekt a žadatel'!E23</f>
        <v>NE</v>
      </c>
      <c r="D3" s="93"/>
      <c r="E3" s="93"/>
    </row>
    <row r="4" spans="1:11" ht="32.25" customHeight="1">
      <c r="A4" s="91" t="s">
        <v>3</v>
      </c>
      <c r="B4" s="92"/>
      <c r="C4" s="238" t="str">
        <f>+'Projekt a žadatel'!C5:E5</f>
        <v/>
      </c>
      <c r="D4" s="238"/>
      <c r="E4" s="238"/>
    </row>
    <row r="5" spans="1:11" ht="28.5" customHeight="1">
      <c r="A5" s="91" t="s">
        <v>31</v>
      </c>
      <c r="B5" s="92"/>
      <c r="C5" s="238" t="str">
        <f>+'Projekt a žadatel'!C6:E6</f>
        <v/>
      </c>
      <c r="D5" s="238"/>
      <c r="E5" s="238"/>
    </row>
    <row r="6" spans="1:11" ht="15.75" customHeight="1">
      <c r="A6" s="91" t="s">
        <v>32</v>
      </c>
      <c r="B6" s="92"/>
      <c r="C6" s="93" t="str">
        <f>CONCATENATE(+'Projekt a žadatel'!C7)</f>
        <v/>
      </c>
      <c r="D6" s="93"/>
      <c r="E6" s="93"/>
    </row>
    <row r="7" spans="1:11" ht="17.25" customHeight="1">
      <c r="A7" s="21" t="str">
        <f>IF('Projekt a žadatel'!D23="NE","Na úvodním listu je uvedeno, že o změnu rozpočtu nežádáte (resp. změnu neoznamujete). Tento list proto není třeba vyplňovat","")</f>
        <v/>
      </c>
      <c r="B7" s="4"/>
      <c r="C7" s="11"/>
      <c r="D7" s="12"/>
      <c r="E7" s="12"/>
    </row>
    <row r="8" spans="1:11" ht="22.5">
      <c r="A8" s="101" t="e">
        <f>IF(F82&gt;0,"Žádáme o provedení podstatné změny rozpočtu dotace projektu","Oznamujeme nepodsatnou změnu rozpočtu dotace projektu")</f>
        <v>#N/A</v>
      </c>
      <c r="B8" s="4"/>
      <c r="C8" s="22" t="str">
        <f>IF('Projekt a žadatel'!$C$5:$E$5="","Formulář nelze vyplnit - nebyl načten rozpočet! Zadejte správné číslo projektu a IČ na listu Projekt a žadatel.","")</f>
        <v>Formulář nelze vyplnit - nebyl načten rozpočet! Zadejte správné číslo projektu a IČ na listu Projekt a žadatel.</v>
      </c>
      <c r="D8" s="22"/>
      <c r="E8" s="12"/>
    </row>
    <row r="9" spans="1:11" ht="11.25" hidden="1" customHeight="1">
      <c r="A9" s="8"/>
      <c r="B9" s="4"/>
      <c r="C9" s="11"/>
      <c r="D9" s="12"/>
      <c r="E9" s="12"/>
    </row>
    <row r="10" spans="1:11" ht="9.75" customHeight="1">
      <c r="A10" s="7"/>
      <c r="B10" s="237"/>
      <c r="C10" s="237"/>
      <c r="D10" s="237"/>
      <c r="E10" s="237"/>
    </row>
    <row r="11" spans="1:11" s="6" customFormat="1" ht="83.25" customHeight="1">
      <c r="A11" s="134" t="s">
        <v>6</v>
      </c>
      <c r="B11" s="134" t="s">
        <v>0</v>
      </c>
      <c r="C11" s="134" t="str">
        <f>IF(C3="NE","Původní rozpočet dotace (z vydaného Rozhodnutí)","Rozpočet dotace ze Změnového rozhodnutí")</f>
        <v>Původní rozpočet dotace (z vydaného Rozhodnutí)</v>
      </c>
      <c r="D11" s="134" t="s">
        <v>1177</v>
      </c>
      <c r="E11" s="135" t="s">
        <v>329</v>
      </c>
      <c r="F11" s="136" t="str">
        <f>+'Projekt a žadatel'!D23</f>
        <v>ANO</v>
      </c>
      <c r="G11" s="136"/>
      <c r="H11" s="136"/>
      <c r="I11" s="136"/>
      <c r="J11" s="136"/>
      <c r="K11" s="134" t="str">
        <f>IF('Projekt a žadatel'!E23="ANO","Vyplňte Rozpočet podle posledního vydaného Změnového rozhodnutí","")</f>
        <v/>
      </c>
    </row>
    <row r="12" spans="1:11">
      <c r="A12" s="137" t="s">
        <v>20</v>
      </c>
      <c r="B12" s="138" t="s">
        <v>18</v>
      </c>
      <c r="C12" s="139" t="e">
        <f>SUM(C13:C14)</f>
        <v>#N/A</v>
      </c>
      <c r="D12" s="139">
        <f>SUM(D13:D14)</f>
        <v>0</v>
      </c>
      <c r="E12" s="140" t="s">
        <v>29</v>
      </c>
      <c r="F12" s="18" t="e">
        <f>SUM(F13:F60)</f>
        <v>#N/A</v>
      </c>
      <c r="G12" s="17" t="e">
        <f>IF(F12=0,"",IF(F12=1,"položka",IF(AND(F12&gt;1,F12&lt;5),"položky","položek")))</f>
        <v>#N/A</v>
      </c>
      <c r="H12" s="17"/>
      <c r="I12" s="17"/>
      <c r="J12" s="17"/>
      <c r="K12" s="139">
        <f>SUM(K13:K14)</f>
        <v>0</v>
      </c>
    </row>
    <row r="13" spans="1:11" ht="30">
      <c r="A13" s="128" t="s">
        <v>7</v>
      </c>
      <c r="B13" s="71" t="s">
        <v>74</v>
      </c>
      <c r="C13" s="72" t="e">
        <f>IF(C3="NE",VLOOKUP(CONCATENATE("MIZPP",'Projekt a žadatel'!C4,'Projekt a žadatel'!C7,'Projekt a žadatel'!C3),DB_rozpočtů!A3:CS80,26,FALSE),K13)</f>
        <v>#N/A</v>
      </c>
      <c r="D13" s="73"/>
      <c r="E13" s="141"/>
      <c r="F13" s="17" t="e">
        <f>IF(AND(E13="",D13&lt;&gt;C13),1,0)</f>
        <v>#N/A</v>
      </c>
      <c r="G13" s="17"/>
      <c r="H13" s="17"/>
      <c r="I13" s="17"/>
      <c r="J13" s="17"/>
      <c r="K13" s="73"/>
    </row>
    <row r="14" spans="1:11" s="178" customFormat="1">
      <c r="A14" s="128" t="s">
        <v>8</v>
      </c>
      <c r="B14" s="173" t="s">
        <v>2</v>
      </c>
      <c r="C14" s="174" t="e">
        <f>IF(C3="NE",VLOOKUP(CONCATENATE("MIZPP",'Projekt a žadatel'!C4,'Projekt a žadatel'!C7,'Projekt a žadatel'!C3),DB_rozpočtů!A3:CS80,27,FALSE),K14)</f>
        <v>#N/A</v>
      </c>
      <c r="D14" s="175"/>
      <c r="E14" s="176"/>
      <c r="F14" s="177" t="e">
        <f>IF(AND(E14="",D14&lt;&gt;C14),1,0)</f>
        <v>#N/A</v>
      </c>
      <c r="G14" s="177"/>
      <c r="H14" s="177"/>
      <c r="I14" s="177"/>
      <c r="J14" s="177"/>
      <c r="K14" s="175"/>
    </row>
    <row r="15" spans="1:11" ht="15" hidden="1" customHeight="1" thickBot="1">
      <c r="A15" s="128" t="s">
        <v>9</v>
      </c>
      <c r="B15" s="71" t="s">
        <v>75</v>
      </c>
      <c r="C15" s="72"/>
      <c r="D15" s="73"/>
      <c r="E15" s="142"/>
      <c r="F15" s="17">
        <f>IF(AND(E15="",D15&lt;&gt;C15),1,0)</f>
        <v>0</v>
      </c>
      <c r="G15" s="17"/>
      <c r="H15" s="17"/>
      <c r="I15" s="17"/>
      <c r="J15" s="17"/>
      <c r="K15" s="73"/>
    </row>
    <row r="16" spans="1:11">
      <c r="A16" s="137" t="s">
        <v>19</v>
      </c>
      <c r="B16" s="138" t="s">
        <v>22</v>
      </c>
      <c r="C16" s="139" t="e">
        <f>SUM(C17:C18)</f>
        <v>#N/A</v>
      </c>
      <c r="D16" s="139">
        <f>SUM(D17:D18)</f>
        <v>0</v>
      </c>
      <c r="E16" s="143" t="s">
        <v>29</v>
      </c>
      <c r="F16" s="17"/>
      <c r="G16" s="17"/>
      <c r="H16" s="17"/>
      <c r="I16" s="17"/>
      <c r="J16" s="17"/>
      <c r="K16" s="139">
        <f>SUM(K17:K18)</f>
        <v>0</v>
      </c>
    </row>
    <row r="17" spans="1:11">
      <c r="A17" s="128" t="s">
        <v>10</v>
      </c>
      <c r="B17" s="76" t="s">
        <v>13</v>
      </c>
      <c r="C17" s="72" t="e">
        <f>IF(C3="NE",VLOOKUP(CONCATENATE("MIZPP",'Projekt a žadatel'!C4,'Projekt a žadatel'!C7,'Projekt a žadatel'!C3),DB_rozpočtů!A3:CS80,29,FALSE),K17)</f>
        <v>#N/A</v>
      </c>
      <c r="D17" s="73"/>
      <c r="E17" s="141"/>
      <c r="F17" s="17" t="e">
        <f>IF(AND(E17="",D17&lt;&gt;C17),1,0)</f>
        <v>#N/A</v>
      </c>
      <c r="G17" s="17"/>
      <c r="H17" s="17"/>
      <c r="I17" s="17"/>
      <c r="J17" s="17"/>
      <c r="K17" s="73"/>
    </row>
    <row r="18" spans="1:11">
      <c r="A18" s="128" t="s">
        <v>26</v>
      </c>
      <c r="B18" s="71" t="s">
        <v>27</v>
      </c>
      <c r="C18" s="72" t="e">
        <f>IF(C3="NE",VLOOKUP(CONCATENATE("MIZPP",'Projekt a žadatel'!C4,'Projekt a žadatel'!C7,'Projekt a žadatel'!C3),DB_rozpočtů!A3:CS80,30,FALSE),K18)</f>
        <v>#N/A</v>
      </c>
      <c r="D18" s="73"/>
      <c r="E18" s="141"/>
      <c r="F18" s="17" t="e">
        <f>IF(AND(E18="",D18&lt;&gt;C18),1,0)</f>
        <v>#N/A</v>
      </c>
      <c r="G18" s="17"/>
      <c r="H18" s="17"/>
      <c r="I18" s="17"/>
      <c r="J18" s="17"/>
      <c r="K18" s="73"/>
    </row>
    <row r="19" spans="1:11">
      <c r="A19" s="137" t="s">
        <v>17</v>
      </c>
      <c r="B19" s="144" t="s">
        <v>21</v>
      </c>
      <c r="C19" s="139" t="e">
        <f>SUM(C20:C22)</f>
        <v>#N/A</v>
      </c>
      <c r="D19" s="139">
        <f>SUM(D20:D22)</f>
        <v>0</v>
      </c>
      <c r="E19" s="145" t="s">
        <v>29</v>
      </c>
      <c r="F19" s="17"/>
      <c r="G19" s="17"/>
      <c r="H19" s="17"/>
      <c r="I19" s="17"/>
      <c r="J19" s="17"/>
      <c r="K19" s="139">
        <f>SUM(K20:K22)</f>
        <v>0</v>
      </c>
    </row>
    <row r="20" spans="1:11">
      <c r="A20" s="128" t="s">
        <v>11</v>
      </c>
      <c r="B20" s="71" t="s">
        <v>76</v>
      </c>
      <c r="C20" s="72" t="e">
        <f>IF(C3="NE",VLOOKUP(CONCATENATE("MIZPP",'Projekt a žadatel'!C4,'Projekt a žadatel'!C7,'Projekt a žadatel'!C3),DB_rozpočtů!A3:CS80,32,FALSE),K20)</f>
        <v>#N/A</v>
      </c>
      <c r="D20" s="73"/>
      <c r="E20" s="141"/>
      <c r="F20" s="17" t="e">
        <f>IF(AND(E20="",D20&lt;&gt;C20),1,0)</f>
        <v>#N/A</v>
      </c>
      <c r="G20" s="17"/>
      <c r="H20" s="17"/>
      <c r="I20" s="17"/>
      <c r="J20" s="17"/>
      <c r="K20" s="73"/>
    </row>
    <row r="21" spans="1:11" hidden="1">
      <c r="A21" s="128" t="s">
        <v>181</v>
      </c>
      <c r="B21" s="186" t="e">
        <f>VLOOKUP(CONCATENATE("MIZPP",'Projekt a žadatel'!C4,'Projekt a žadatel'!C7,'Projekt a žadatel'!C3),DB_rozpočtů!A3:CS80,33,FALSE)</f>
        <v>#N/A</v>
      </c>
      <c r="C21" s="72" t="e">
        <f>IF(C3="NE",VLOOKUP(CONCATENATE("MIZPP",'Projekt a žadatel'!C4,'Projekt a žadatel'!C7,'Projekt a žadatel'!C3),DB_rozpočtů!A3:CS80,34,FALSE),K21)</f>
        <v>#N/A</v>
      </c>
      <c r="D21" s="73"/>
      <c r="E21" s="141"/>
      <c r="F21" s="17"/>
      <c r="G21" s="17"/>
      <c r="H21" s="17"/>
      <c r="I21" s="17"/>
      <c r="J21" s="17"/>
      <c r="K21" s="73"/>
    </row>
    <row r="22" spans="1:11" hidden="1">
      <c r="A22" s="128" t="s">
        <v>212</v>
      </c>
      <c r="B22" s="186" t="e">
        <f>VLOOKUP(CONCATENATE("MIZPP",'Projekt a žadatel'!C4,'Projekt a žadatel'!C7,'Projekt a žadatel'!C3),DB_rozpočtů!A3:CS80,35,FALSE)</f>
        <v>#N/A</v>
      </c>
      <c r="C22" s="72" t="e">
        <f>IF(C3="NE",VLOOKUP(CONCATENATE("MIZPP",'Projekt a žadatel'!C4,'Projekt a žadatel'!C7,'Projekt a žadatel'!C3),DB_rozpočtů!A3:CS80,36,FALSE),K22)</f>
        <v>#N/A</v>
      </c>
      <c r="D22" s="73"/>
      <c r="E22" s="141"/>
      <c r="F22" s="17" t="e">
        <f>IF(AND(E22="",D22&lt;&gt;C22),1,0)</f>
        <v>#N/A</v>
      </c>
      <c r="G22" s="17"/>
      <c r="H22" s="17"/>
      <c r="I22" s="17"/>
      <c r="J22" s="17"/>
      <c r="K22" s="73"/>
    </row>
    <row r="23" spans="1:11">
      <c r="A23" s="137" t="s">
        <v>214</v>
      </c>
      <c r="B23" s="144" t="s">
        <v>213</v>
      </c>
      <c r="C23" s="139" t="e">
        <f>SUM(C24:C28)</f>
        <v>#N/A</v>
      </c>
      <c r="D23" s="139">
        <f>SUM(D24:D28)</f>
        <v>0</v>
      </c>
      <c r="E23" s="145" t="s">
        <v>29</v>
      </c>
      <c r="F23" s="17"/>
      <c r="G23" s="17"/>
      <c r="H23" s="17"/>
      <c r="I23" s="17"/>
      <c r="J23" s="17"/>
      <c r="K23" s="139">
        <f>SUM(K24:K28)</f>
        <v>0</v>
      </c>
    </row>
    <row r="24" spans="1:11">
      <c r="A24" s="128" t="s">
        <v>182</v>
      </c>
      <c r="B24" s="181" t="e">
        <f>VLOOKUP(CONCATENATE("MIZPP",'Projekt a žadatel'!C4,'Projekt a žadatel'!C7,'Projekt a žadatel'!C3),DB_rozpočtů!A3:CS80,38,FALSE)</f>
        <v>#N/A</v>
      </c>
      <c r="C24" s="72" t="e">
        <f>IF(C3="NE",VLOOKUP(CONCATENATE("MIZPP",'Projekt a žadatel'!C4,'Projekt a žadatel'!C7,'Projekt a žadatel'!C3),DB_rozpočtů!A3:CS80,39,FALSE),K24)</f>
        <v>#N/A</v>
      </c>
      <c r="D24" s="73"/>
      <c r="E24" s="141"/>
      <c r="F24" s="17" t="e">
        <f>IF(AND(E24="",D24&lt;&gt;C24),1,0)</f>
        <v>#N/A</v>
      </c>
      <c r="G24" s="17"/>
      <c r="H24" s="17"/>
      <c r="I24" s="17"/>
      <c r="J24" s="17"/>
      <c r="K24" s="73"/>
    </row>
    <row r="25" spans="1:11">
      <c r="A25" s="128" t="s">
        <v>183</v>
      </c>
      <c r="B25" s="182" t="e">
        <f>CONCATENATE(VLOOKUP(CONCATENATE("MIZPP",'Projekt a žadatel'!C4,'Projekt a žadatel'!C7,'Projekt a žadatel'!C3),DB_rozpočtů!A3:CS80,40,FALSE))</f>
        <v>#N/A</v>
      </c>
      <c r="C25" s="72" t="e">
        <f>IF(C3="NE",VLOOKUP(CONCATENATE("MIZPP",'Projekt a žadatel'!C4,'Projekt a žadatel'!C7,'Projekt a žadatel'!C3),DB_rozpočtů!A3:CS80,41,FALSE),K25)</f>
        <v>#N/A</v>
      </c>
      <c r="D25" s="73"/>
      <c r="E25" s="141"/>
      <c r="F25" s="17" t="e">
        <f>IF(AND(E25="",D25&lt;&gt;C25),1,0)</f>
        <v>#N/A</v>
      </c>
      <c r="G25" s="17"/>
      <c r="H25" s="17"/>
      <c r="I25" s="17"/>
      <c r="J25" s="17"/>
      <c r="K25" s="73"/>
    </row>
    <row r="26" spans="1:11" ht="13.5" hidden="1" customHeight="1">
      <c r="A26" s="128"/>
      <c r="B26" s="74"/>
      <c r="C26" s="72"/>
      <c r="D26" s="73"/>
      <c r="E26" s="141"/>
      <c r="F26" s="17"/>
      <c r="G26" s="17"/>
      <c r="H26" s="17"/>
      <c r="I26" s="17"/>
      <c r="J26" s="17"/>
      <c r="K26" s="73"/>
    </row>
    <row r="27" spans="1:11" hidden="1">
      <c r="A27" s="128"/>
      <c r="B27" s="74"/>
      <c r="C27" s="72"/>
      <c r="D27" s="73"/>
      <c r="E27" s="141"/>
      <c r="F27" s="17"/>
      <c r="G27" s="17"/>
      <c r="H27" s="17"/>
      <c r="I27" s="17"/>
      <c r="J27" s="17"/>
      <c r="K27" s="73"/>
    </row>
    <row r="28" spans="1:11" hidden="1">
      <c r="A28" s="128"/>
      <c r="B28" s="74"/>
      <c r="C28" s="72"/>
      <c r="D28" s="73"/>
      <c r="E28" s="141"/>
      <c r="F28" s="17"/>
      <c r="G28" s="17"/>
      <c r="H28" s="17"/>
      <c r="I28" s="17"/>
      <c r="J28" s="17"/>
      <c r="K28" s="73"/>
    </row>
    <row r="29" spans="1:11" hidden="1">
      <c r="A29" s="128"/>
      <c r="B29" s="75"/>
      <c r="C29" s="72"/>
      <c r="D29" s="73"/>
      <c r="E29" s="141"/>
      <c r="F29" s="17"/>
      <c r="G29" s="17"/>
      <c r="H29" s="17"/>
      <c r="I29" s="17"/>
      <c r="J29" s="17"/>
      <c r="K29" s="73"/>
    </row>
    <row r="30" spans="1:11" hidden="1">
      <c r="A30" s="128"/>
      <c r="B30" s="75"/>
      <c r="C30" s="72"/>
      <c r="D30" s="73"/>
      <c r="E30" s="141"/>
      <c r="F30" s="17"/>
      <c r="G30" s="17"/>
      <c r="H30" s="17"/>
      <c r="I30" s="17"/>
      <c r="J30" s="17"/>
      <c r="K30" s="73"/>
    </row>
    <row r="31" spans="1:11" hidden="1">
      <c r="A31" s="128"/>
      <c r="B31" s="75"/>
      <c r="C31" s="72"/>
      <c r="D31" s="73"/>
      <c r="E31" s="141"/>
      <c r="F31" s="17"/>
      <c r="G31" s="17"/>
      <c r="H31" s="17"/>
      <c r="I31" s="17"/>
      <c r="J31" s="17"/>
      <c r="K31" s="73"/>
    </row>
    <row r="32" spans="1:11" hidden="1">
      <c r="A32" s="128"/>
      <c r="B32" s="75"/>
      <c r="C32" s="72"/>
      <c r="D32" s="73"/>
      <c r="E32" s="141"/>
      <c r="F32" s="17"/>
      <c r="G32" s="17"/>
      <c r="H32" s="17"/>
      <c r="I32" s="17"/>
      <c r="J32" s="17"/>
      <c r="K32" s="73"/>
    </row>
    <row r="33" spans="1:11">
      <c r="A33" s="137" t="s">
        <v>160</v>
      </c>
      <c r="B33" s="144" t="s">
        <v>23</v>
      </c>
      <c r="C33" s="139" t="e">
        <f>SUM(C34:C55)</f>
        <v>#N/A</v>
      </c>
      <c r="D33" s="139">
        <f>SUM(D34:D55)</f>
        <v>0</v>
      </c>
      <c r="E33" s="145" t="s">
        <v>29</v>
      </c>
      <c r="F33" s="17"/>
      <c r="G33" s="17"/>
      <c r="H33" s="17"/>
      <c r="I33" s="17"/>
      <c r="J33" s="17"/>
      <c r="K33" s="139">
        <f>SUM(K34:K53)</f>
        <v>0</v>
      </c>
    </row>
    <row r="34" spans="1:11">
      <c r="A34" s="128" t="s">
        <v>184</v>
      </c>
      <c r="B34" s="76" t="s">
        <v>68</v>
      </c>
      <c r="C34" s="72" t="e">
        <f>IF(C3="NE",VLOOKUP(CONCATENATE("MIZPP",'Projekt a žadatel'!C4,'Projekt a žadatel'!C7,'Projekt a žadatel'!C3),DB_rozpočtů!A3:CS80,43,FALSE),K34)</f>
        <v>#N/A</v>
      </c>
      <c r="D34" s="73"/>
      <c r="E34" s="141"/>
      <c r="F34" s="17" t="e">
        <f t="shared" ref="F34:F41" si="0">IF(AND(E34="",D34&lt;&gt;C34),1,0)</f>
        <v>#N/A</v>
      </c>
      <c r="G34" s="17"/>
      <c r="H34" s="17"/>
      <c r="I34" s="17"/>
      <c r="J34" s="17"/>
      <c r="K34" s="73"/>
    </row>
    <row r="35" spans="1:11">
      <c r="A35" s="128" t="s">
        <v>185</v>
      </c>
      <c r="B35" s="71" t="s">
        <v>69</v>
      </c>
      <c r="C35" s="72" t="e">
        <f>IF(C3="NE",VLOOKUP(CONCATENATE("MIZPP",'Projekt a žadatel'!C4,'Projekt a žadatel'!C7,'Projekt a žadatel'!C3),DB_rozpočtů!A3:CS80,44,FALSE),K35)</f>
        <v>#N/A</v>
      </c>
      <c r="D35" s="73"/>
      <c r="E35" s="141"/>
      <c r="F35" s="17" t="e">
        <f t="shared" si="0"/>
        <v>#N/A</v>
      </c>
      <c r="G35" s="17"/>
      <c r="H35" s="17"/>
      <c r="I35" s="17"/>
      <c r="J35" s="17"/>
      <c r="K35" s="73"/>
    </row>
    <row r="36" spans="1:11">
      <c r="A36" s="128" t="s">
        <v>186</v>
      </c>
      <c r="B36" s="71" t="s">
        <v>215</v>
      </c>
      <c r="C36" s="72" t="e">
        <f>IF(C3="NE",VLOOKUP(CONCATENATE("MIZPP",'Projekt a žadatel'!C4,'Projekt a žadatel'!C7,'Projekt a žadatel'!C3),DB_rozpočtů!A3:CS80,45,FALSE),K36)</f>
        <v>#N/A</v>
      </c>
      <c r="D36" s="73"/>
      <c r="E36" s="141"/>
      <c r="F36" s="17" t="e">
        <f t="shared" si="0"/>
        <v>#N/A</v>
      </c>
      <c r="G36" s="17"/>
      <c r="H36" s="17"/>
      <c r="I36" s="17"/>
      <c r="J36" s="17"/>
      <c r="K36" s="73"/>
    </row>
    <row r="37" spans="1:11">
      <c r="A37" s="128" t="s">
        <v>187</v>
      </c>
      <c r="B37" s="76" t="s">
        <v>14</v>
      </c>
      <c r="C37" s="72" t="e">
        <f>IF(C3="NE",VLOOKUP(CONCATENATE("MIZPP",'Projekt a žadatel'!C4,'Projekt a žadatel'!C7,'Projekt a žadatel'!C3),DB_rozpočtů!A3:CS80,46,FALSE),K37)</f>
        <v>#N/A</v>
      </c>
      <c r="D37" s="73"/>
      <c r="E37" s="141"/>
      <c r="F37" s="17" t="e">
        <f t="shared" si="0"/>
        <v>#N/A</v>
      </c>
      <c r="G37" s="17"/>
      <c r="H37" s="17"/>
      <c r="I37" s="17"/>
      <c r="J37" s="17"/>
      <c r="K37" s="73"/>
    </row>
    <row r="38" spans="1:11">
      <c r="A38" s="128" t="s">
        <v>188</v>
      </c>
      <c r="B38" s="76" t="s">
        <v>1</v>
      </c>
      <c r="C38" s="72" t="e">
        <f>IF(C3="NE",VLOOKUP(CONCATENATE("MIZPP",'Projekt a žadatel'!C4,'Projekt a žadatel'!C7,'Projekt a žadatel'!C3),DB_rozpočtů!A3:CS80,47,FALSE),K38)</f>
        <v>#N/A</v>
      </c>
      <c r="D38" s="73"/>
      <c r="E38" s="141"/>
      <c r="F38" s="17" t="e">
        <f t="shared" si="0"/>
        <v>#N/A</v>
      </c>
      <c r="G38" s="17"/>
      <c r="H38" s="17"/>
      <c r="I38" s="17"/>
      <c r="J38" s="17"/>
      <c r="K38" s="73"/>
    </row>
    <row r="39" spans="1:11" s="178" customFormat="1" ht="30">
      <c r="A39" s="128" t="s">
        <v>189</v>
      </c>
      <c r="B39" s="179" t="s">
        <v>70</v>
      </c>
      <c r="C39" s="174" t="e">
        <f>IF(C3="NE",VLOOKUP(CONCATENATE("MIZPP",'Projekt a žadatel'!C4,'Projekt a žadatel'!C7,'Projekt a žadatel'!C3),DB_rozpočtů!A3:CS80,48,FALSE),K39)</f>
        <v>#N/A</v>
      </c>
      <c r="D39" s="175"/>
      <c r="E39" s="176"/>
      <c r="F39" s="177" t="e">
        <f t="shared" si="0"/>
        <v>#N/A</v>
      </c>
      <c r="G39" s="177"/>
      <c r="H39" s="177"/>
      <c r="I39" s="177"/>
      <c r="J39" s="177"/>
      <c r="K39" s="175"/>
    </row>
    <row r="40" spans="1:11">
      <c r="A40" s="128" t="s">
        <v>190</v>
      </c>
      <c r="B40" s="76" t="s">
        <v>16</v>
      </c>
      <c r="C40" s="72" t="e">
        <f>IF(C3="NE",VLOOKUP(CONCATENATE("MIZPP",'Projekt a žadatel'!C4,'Projekt a žadatel'!C7,'Projekt a žadatel'!C3),DB_rozpočtů!A3:CS80,49,FALSE),K40)</f>
        <v>#N/A</v>
      </c>
      <c r="D40" s="73"/>
      <c r="E40" s="141"/>
      <c r="F40" s="17" t="e">
        <f t="shared" si="0"/>
        <v>#N/A</v>
      </c>
      <c r="G40" s="17"/>
      <c r="H40" s="17"/>
      <c r="I40" s="17"/>
      <c r="J40" s="17"/>
      <c r="K40" s="73"/>
    </row>
    <row r="41" spans="1:11">
      <c r="A41" s="128" t="s">
        <v>191</v>
      </c>
      <c r="B41" s="76" t="s">
        <v>15</v>
      </c>
      <c r="C41" s="72" t="e">
        <f>IF(C3="NE",VLOOKUP(CONCATENATE("MIZPP",'Projekt a žadatel'!C4,'Projekt a žadatel'!C7,'Projekt a žadatel'!C3),DB_rozpočtů!A3:CS80,50,FALSE),K40)</f>
        <v>#N/A</v>
      </c>
      <c r="D41" s="73"/>
      <c r="E41" s="141"/>
      <c r="F41" s="17" t="e">
        <f t="shared" si="0"/>
        <v>#N/A</v>
      </c>
      <c r="G41" s="17"/>
      <c r="H41" s="17"/>
      <c r="I41" s="17"/>
      <c r="J41" s="17"/>
      <c r="K41" s="73"/>
    </row>
    <row r="42" spans="1:11">
      <c r="A42" s="128" t="s">
        <v>216</v>
      </c>
      <c r="B42" s="76" t="e">
        <f>VLOOKUP(CONCATENATE("MIZPP",'Projekt a žadatel'!C4,'Projekt a žadatel'!C7,'Projekt a žadatel'!C3),DB_rozpočtů!A3:CS80,51,FALSE)</f>
        <v>#N/A</v>
      </c>
      <c r="C42" s="72" t="e">
        <f>IF(C3="NE",VLOOKUP(CONCATENATE("MIZPP",'Projekt a žadatel'!C4,'Projekt a žadatel'!C7,'Projekt a žadatel'!C3),DB_rozpočtů!A3:CS80,52,FALSE),K40)</f>
        <v>#N/A</v>
      </c>
      <c r="D42" s="73"/>
      <c r="E42" s="141"/>
      <c r="F42" s="17" t="e">
        <f t="shared" ref="F42:F56" si="1">IF(AND(E42="",D42&lt;&gt;C42),1,0)</f>
        <v>#N/A</v>
      </c>
      <c r="G42" s="17"/>
      <c r="H42" s="17"/>
      <c r="I42" s="17"/>
      <c r="J42" s="17"/>
      <c r="K42" s="73"/>
    </row>
    <row r="43" spans="1:11" s="178" customFormat="1">
      <c r="A43" s="128" t="s">
        <v>217</v>
      </c>
      <c r="B43" s="173" t="e">
        <f>CONCATENATE(VLOOKUP(CONCATENATE("MIZPP",'Projekt a žadatel'!C4,'Projekt a žadatel'!C7,'Projekt a žadatel'!C3),DB_rozpočtů!A3:CS80,53,FALSE))</f>
        <v>#N/A</v>
      </c>
      <c r="C43" s="174" t="e">
        <f>IF(C3="NE",VLOOKUP(CONCATENATE("MIZPP",'Projekt a žadatel'!C4,'Projekt a žadatel'!C7,'Projekt a žadatel'!C3),DB_rozpočtů!A3:CS80,54,FALSE),K43)</f>
        <v>#N/A</v>
      </c>
      <c r="D43" s="175"/>
      <c r="E43" s="176"/>
      <c r="F43" s="177" t="e">
        <f t="shared" si="1"/>
        <v>#N/A</v>
      </c>
      <c r="G43" s="177"/>
      <c r="H43" s="177"/>
      <c r="I43" s="177"/>
      <c r="J43" s="177"/>
      <c r="K43" s="175"/>
    </row>
    <row r="44" spans="1:11" ht="16.5" customHeight="1">
      <c r="A44" s="128" t="s">
        <v>218</v>
      </c>
      <c r="B44" s="76" t="e">
        <f>CONCATENATE(VLOOKUP(CONCATENATE("MIZPP",'Projekt a žadatel'!C4,'Projekt a žadatel'!C7,'Projekt a žadatel'!C3),DB_rozpočtů!A3:CS80,55,FALSE))</f>
        <v>#N/A</v>
      </c>
      <c r="C44" s="72" t="e">
        <f>IF(C3="NE",VLOOKUP(CONCATENATE("MIZPP",'Projekt a žadatel'!C4,'Projekt a žadatel'!C7,'Projekt a žadatel'!C3),DB_rozpočtů!A3:CS80,56,FALSE),K44)</f>
        <v>#N/A</v>
      </c>
      <c r="D44" s="73"/>
      <c r="E44" s="141"/>
      <c r="F44" s="17" t="e">
        <f t="shared" si="1"/>
        <v>#N/A</v>
      </c>
      <c r="G44" s="17"/>
      <c r="H44" s="17"/>
      <c r="I44" s="17"/>
      <c r="J44" s="17"/>
      <c r="K44" s="73"/>
    </row>
    <row r="45" spans="1:11">
      <c r="A45" s="120" t="s">
        <v>219</v>
      </c>
      <c r="B45" s="183" t="e">
        <f>CONCATENATE(VLOOKUP(CONCATENATE("MIZPP",'Projekt a žadatel'!C4,'Projekt a žadatel'!C7,'Projekt a žadatel'!C3),DB_rozpočtů!A3:CS80,57,FALSE))</f>
        <v>#N/A</v>
      </c>
      <c r="C45" s="72" t="e">
        <f>IF(C3="NE",VLOOKUP(CONCATENATE("MIZPP",'Projekt a žadatel'!C4,'Projekt a žadatel'!C7,'Projekt a žadatel'!C3),DB_rozpočtů!A$3:CS$80,58,FALSE),K45)</f>
        <v>#N/A</v>
      </c>
      <c r="D45" s="73"/>
      <c r="E45" s="141"/>
      <c r="F45" s="17" t="e">
        <f t="shared" si="1"/>
        <v>#N/A</v>
      </c>
      <c r="G45" s="17"/>
      <c r="H45" s="17"/>
      <c r="I45" s="17"/>
      <c r="J45" s="17"/>
      <c r="K45" s="73"/>
    </row>
    <row r="46" spans="1:11" hidden="1">
      <c r="A46" s="120"/>
      <c r="B46" s="183"/>
      <c r="C46" s="72"/>
      <c r="D46" s="73"/>
      <c r="E46" s="141"/>
      <c r="F46" s="17"/>
      <c r="G46" s="17"/>
      <c r="H46" s="17"/>
      <c r="I46" s="17"/>
      <c r="J46" s="17"/>
      <c r="K46" s="73"/>
    </row>
    <row r="47" spans="1:11" hidden="1">
      <c r="A47" s="120"/>
      <c r="B47" s="183"/>
      <c r="C47" s="72"/>
      <c r="D47" s="73"/>
      <c r="E47" s="141"/>
      <c r="F47" s="17"/>
      <c r="G47" s="17"/>
      <c r="H47" s="17"/>
      <c r="I47" s="17"/>
      <c r="J47" s="17"/>
      <c r="K47" s="73"/>
    </row>
    <row r="48" spans="1:11" hidden="1">
      <c r="A48" s="120"/>
      <c r="B48" s="183"/>
      <c r="C48" s="72"/>
      <c r="D48" s="73"/>
      <c r="E48" s="141"/>
      <c r="F48" s="17"/>
      <c r="G48" s="17"/>
      <c r="H48" s="17"/>
      <c r="I48" s="17"/>
      <c r="J48" s="17"/>
      <c r="K48" s="73"/>
    </row>
    <row r="49" spans="1:11" hidden="1">
      <c r="A49" s="120"/>
      <c r="B49" s="184"/>
      <c r="C49" s="72"/>
      <c r="D49" s="73"/>
      <c r="E49" s="142"/>
      <c r="F49" s="17"/>
      <c r="G49" s="17"/>
      <c r="H49" s="17"/>
      <c r="I49" s="17"/>
      <c r="J49" s="17"/>
      <c r="K49" s="73"/>
    </row>
    <row r="50" spans="1:11" hidden="1">
      <c r="A50" s="120"/>
      <c r="B50" s="184"/>
      <c r="C50" s="72"/>
      <c r="D50" s="73"/>
      <c r="E50" s="142"/>
      <c r="F50" s="17"/>
      <c r="G50" s="17"/>
      <c r="H50" s="17"/>
      <c r="I50" s="17"/>
      <c r="J50" s="17"/>
      <c r="K50" s="73"/>
    </row>
    <row r="51" spans="1:11" ht="16.5" customHeight="1">
      <c r="A51" s="120" t="s">
        <v>220</v>
      </c>
      <c r="B51" s="184" t="e">
        <f>CONCATENATE(VLOOKUP(CONCATENATE("MIZPP",'Projekt a žadatel'!C4,'Projekt a žadatel'!C7,'Projekt a žadatel'!C3),DB_rozpočtů!A3:CS80,59,FALSE))</f>
        <v>#N/A</v>
      </c>
      <c r="C51" s="72" t="e">
        <f>IF(C3="NE",VLOOKUP(CONCATENATE("MIZPP",'Projekt a žadatel'!C4,'Projekt a žadatel'!C7,'Projekt a žadatel'!C3),DB_rozpočtů!A$3:CS$80,60,FALSE),K51)</f>
        <v>#N/A</v>
      </c>
      <c r="D51" s="73"/>
      <c r="E51" s="141"/>
      <c r="F51" s="17" t="e">
        <f t="shared" si="1"/>
        <v>#N/A</v>
      </c>
      <c r="G51" s="17"/>
      <c r="H51" s="17"/>
      <c r="I51" s="17"/>
      <c r="J51" s="17"/>
      <c r="K51" s="73"/>
    </row>
    <row r="52" spans="1:11" ht="16.5" customHeight="1">
      <c r="A52" s="120" t="s">
        <v>221</v>
      </c>
      <c r="B52" s="184" t="e">
        <f>CONCATENATE(VLOOKUP(CONCATENATE("MIZPP",'Projekt a žadatel'!C4,'Projekt a žadatel'!C7,'Projekt a žadatel'!C3),DB_rozpočtů!A3:CS80,61,FALSE))</f>
        <v>#N/A</v>
      </c>
      <c r="C52" s="72" t="e">
        <f>IF(C3="NE",VLOOKUP(CONCATENATE("MIZPP",'Projekt a žadatel'!C4,'Projekt a žadatel'!C7,'Projekt a žadatel'!C3),DB_rozpočtů!A$3:CS$80,62,FALSE),K52)</f>
        <v>#N/A</v>
      </c>
      <c r="D52" s="73"/>
      <c r="E52" s="141"/>
      <c r="F52" s="17" t="e">
        <f t="shared" si="1"/>
        <v>#N/A</v>
      </c>
      <c r="G52" s="17"/>
      <c r="H52" s="17"/>
      <c r="I52" s="17"/>
      <c r="J52" s="17"/>
      <c r="K52" s="73"/>
    </row>
    <row r="53" spans="1:11" ht="16.5" customHeight="1">
      <c r="A53" s="120" t="s">
        <v>222</v>
      </c>
      <c r="B53" s="184" t="e">
        <f>CONCATENATE(VLOOKUP(CONCATENATE("MIZPP",'Projekt a žadatel'!C4,'Projekt a žadatel'!C7,'Projekt a žadatel'!C3),DB_rozpočtů!A3:CS80,63,FALSE))</f>
        <v>#N/A</v>
      </c>
      <c r="C53" s="72" t="e">
        <f>IF(C3="NE",VLOOKUP(CONCATENATE("MIZPP",'Projekt a žadatel'!C4,'Projekt a žadatel'!C7,'Projekt a žadatel'!C3),DB_rozpočtů!A$3:CS$80,64,FALSE),K53)</f>
        <v>#N/A</v>
      </c>
      <c r="D53" s="73"/>
      <c r="E53" s="141"/>
      <c r="F53" s="17" t="e">
        <f t="shared" si="1"/>
        <v>#N/A</v>
      </c>
      <c r="G53" s="17"/>
      <c r="H53" s="17"/>
      <c r="I53" s="17"/>
      <c r="J53" s="17"/>
      <c r="K53" s="73"/>
    </row>
    <row r="54" spans="1:11" ht="16.5" customHeight="1">
      <c r="A54" s="120" t="s">
        <v>715</v>
      </c>
      <c r="B54" s="184" t="e">
        <f>CONCATENATE(VLOOKUP(CONCATENATE("MIZPP",'Projekt a žadatel'!C4,'Projekt a žadatel'!C7,'Projekt a žadatel'!C3),DB_rozpočtů!A3:CS80,65,FALSE))</f>
        <v>#N/A</v>
      </c>
      <c r="C54" s="72" t="e">
        <f>IF(C3="NE",VLOOKUP(CONCATENATE("MIZPP",'Projekt a žadatel'!C4,'Projekt a žadatel'!C7,'Projekt a žadatel'!C3),DB_rozpočtů!A$3:CS$80,66,FALSE),K53)</f>
        <v>#N/A</v>
      </c>
      <c r="D54" s="73"/>
      <c r="E54" s="141"/>
      <c r="F54" s="17"/>
      <c r="G54" s="17"/>
      <c r="H54" s="17"/>
      <c r="I54" s="17"/>
      <c r="J54" s="17"/>
      <c r="K54" s="73"/>
    </row>
    <row r="55" spans="1:11" ht="16.5" customHeight="1">
      <c r="A55" s="120" t="s">
        <v>716</v>
      </c>
      <c r="B55" s="184" t="e">
        <f>CONCATENATE(VLOOKUP(CONCATENATE("MIZPP",'Projekt a žadatel'!C4,'Projekt a žadatel'!C7,'Projekt a žadatel'!C3),DB_rozpočtů!A3:CS80,67,FALSE))</f>
        <v>#N/A</v>
      </c>
      <c r="C55" s="72" t="e">
        <f>IF(C3="NE",VLOOKUP(CONCATENATE("MIZPP",'Projekt a žadatel'!C4,'Projekt a žadatel'!C7,'Projekt a žadatel'!C3),DB_rozpočtů!A$3:CS$80,68,FALSE),K53)</f>
        <v>#N/A</v>
      </c>
      <c r="D55" s="73"/>
      <c r="E55" s="141"/>
      <c r="F55" s="17"/>
      <c r="G55" s="17"/>
      <c r="H55" s="17"/>
      <c r="I55" s="17"/>
      <c r="J55" s="17"/>
      <c r="K55" s="73"/>
    </row>
    <row r="56" spans="1:11" ht="15.75">
      <c r="A56" s="146"/>
      <c r="B56" s="147" t="s">
        <v>223</v>
      </c>
      <c r="C56" s="148" t="e">
        <f>+C12+C16+C19+C23+C33</f>
        <v>#N/A</v>
      </c>
      <c r="D56" s="148">
        <f>+D12+D16+D19+D23+D33</f>
        <v>0</v>
      </c>
      <c r="E56" s="149" t="s">
        <v>29</v>
      </c>
      <c r="F56" s="17" t="e">
        <f t="shared" si="1"/>
        <v>#N/A</v>
      </c>
      <c r="G56" s="17"/>
      <c r="H56" s="17"/>
      <c r="I56" s="17"/>
      <c r="J56" s="17"/>
      <c r="K56" s="148">
        <f>+K12+K16+K19+K23+K33</f>
        <v>0</v>
      </c>
    </row>
    <row r="57" spans="1:11" ht="45">
      <c r="A57" s="137" t="s">
        <v>504</v>
      </c>
      <c r="B57" s="77" t="s">
        <v>72</v>
      </c>
      <c r="C57" s="150" t="e">
        <f>IF(C3="NE",VLOOKUP(CONCATENATE("MIZPP",'Projekt a žadatel'!C4,'Projekt a žadatel'!C7,'Projekt a žadatel'!C3),DB_rozpočtů!A3:CS80,70,FALSE),K57)</f>
        <v>#N/A</v>
      </c>
      <c r="D57" s="151"/>
      <c r="E57" s="141"/>
      <c r="F57" s="17" t="e">
        <f>IF(AND(E57="",D57&lt;&gt;C57),1,0)</f>
        <v>#N/A</v>
      </c>
      <c r="G57" s="17"/>
      <c r="H57" s="17"/>
      <c r="I57" s="17"/>
      <c r="J57" s="17"/>
      <c r="K57" s="151"/>
    </row>
    <row r="58" spans="1:11">
      <c r="A58" s="128"/>
      <c r="B58" s="152" t="s">
        <v>73</v>
      </c>
      <c r="C58" s="153" t="e">
        <f>IF(C60&gt;0,C57/C60,0)</f>
        <v>#N/A</v>
      </c>
      <c r="D58" s="153">
        <f>IF(D60&gt;0,D57/D60,0)</f>
        <v>0</v>
      </c>
      <c r="E58" s="145" t="s">
        <v>29</v>
      </c>
      <c r="F58" s="17"/>
      <c r="G58" s="17"/>
      <c r="H58" s="17"/>
      <c r="I58" s="17"/>
      <c r="J58" s="17"/>
      <c r="K58" s="153">
        <f>IF(K60&gt;0,K57/K60,0)</f>
        <v>0</v>
      </c>
    </row>
    <row r="59" spans="1:11" hidden="1">
      <c r="A59" s="137"/>
      <c r="B59" s="77" t="s">
        <v>24</v>
      </c>
      <c r="C59" s="78"/>
      <c r="D59" s="79">
        <v>0</v>
      </c>
      <c r="E59" s="154"/>
      <c r="F59" s="17"/>
      <c r="G59" s="17"/>
      <c r="H59" s="17"/>
      <c r="I59" s="17"/>
      <c r="J59" s="17"/>
      <c r="K59" s="79">
        <v>0</v>
      </c>
    </row>
    <row r="60" spans="1:11" ht="21">
      <c r="A60" s="155"/>
      <c r="B60" s="80" t="s">
        <v>12</v>
      </c>
      <c r="C60" s="81" t="e">
        <f>C56+C57</f>
        <v>#N/A</v>
      </c>
      <c r="D60" s="81">
        <f>D56+D57</f>
        <v>0</v>
      </c>
      <c r="E60" s="156" t="s">
        <v>29</v>
      </c>
      <c r="F60" s="17"/>
      <c r="G60" s="17"/>
      <c r="H60" s="17"/>
      <c r="I60" s="17"/>
      <c r="J60" s="17"/>
      <c r="K60" s="81">
        <f>K56+K57</f>
        <v>0</v>
      </c>
    </row>
    <row r="61" spans="1:11" ht="6.75" customHeight="1">
      <c r="A61" s="82"/>
      <c r="B61" s="83"/>
      <c r="C61" s="84"/>
      <c r="D61" s="84"/>
      <c r="E61" s="84"/>
    </row>
    <row r="62" spans="1:11">
      <c r="A62" s="82"/>
      <c r="B62" s="85" t="e">
        <f>IF(F71+F72+F73&gt;0,"Formulář změn není úplně a správně vyplněný - viz. tabulka na řádcích 71-74",IF(F60=F12&gt;0,"",""))</f>
        <v>#N/A</v>
      </c>
      <c r="C62" s="84"/>
      <c r="D62" s="84"/>
      <c r="E62" s="84"/>
    </row>
    <row r="63" spans="1:11" ht="5.25" customHeight="1">
      <c r="A63" s="82"/>
      <c r="B63" s="83"/>
      <c r="C63" s="84"/>
      <c r="D63" s="84"/>
      <c r="E63" s="84"/>
    </row>
    <row r="64" spans="1:11">
      <c r="A64" s="82"/>
      <c r="B64" s="83"/>
      <c r="C64" s="84" t="e">
        <f>VLOOKUP(CONCATENATE("MIZPP",'Projekt a žadatel'!C4,'Projekt a žadatel'!C7,'Projekt a žadatel'!C3),DB_rozpočtů!A$3:CS$80,17,FALSE)</f>
        <v>#N/A</v>
      </c>
      <c r="D64" s="84"/>
      <c r="E64" s="84"/>
    </row>
    <row r="65" spans="1:6">
      <c r="A65" s="82"/>
      <c r="B65" s="83" t="e">
        <f>IF(F82&gt;0,"Datum, podpis ","Formulář  vložte k žádosti o změnu v GRANTYS")</f>
        <v>#N/A</v>
      </c>
      <c r="C65" s="84"/>
      <c r="D65" s="84"/>
      <c r="E65" s="84"/>
    </row>
    <row r="66" spans="1:6">
      <c r="A66" s="82"/>
      <c r="B66" s="86"/>
      <c r="C66" s="84"/>
      <c r="D66" s="84"/>
      <c r="E66" s="84"/>
    </row>
    <row r="67" spans="1:6" hidden="1">
      <c r="A67" s="87" t="s">
        <v>125</v>
      </c>
      <c r="B67" s="132"/>
      <c r="C67" s="88" t="s">
        <v>126</v>
      </c>
      <c r="D67" s="89"/>
      <c r="E67" s="84"/>
    </row>
    <row r="68" spans="1:6">
      <c r="A68" s="133" t="s">
        <v>205</v>
      </c>
      <c r="E68" s="1"/>
    </row>
    <row r="69" spans="1:6">
      <c r="A69" s="20"/>
      <c r="E69" s="1"/>
    </row>
    <row r="70" spans="1:6">
      <c r="B70" s="94" t="s">
        <v>85</v>
      </c>
      <c r="C70" s="84" t="s">
        <v>328</v>
      </c>
      <c r="D70" s="84"/>
      <c r="E70" s="84"/>
    </row>
    <row r="71" spans="1:6">
      <c r="B71" s="95" t="s">
        <v>86</v>
      </c>
      <c r="C71" s="95" t="e">
        <f>IF(C60=D60,"ANO","NE")</f>
        <v>#N/A</v>
      </c>
      <c r="D71" s="96" t="e">
        <f>IF(C71="NE","Původní a změněný rozpočet musí mít stejnou výši","OK")</f>
        <v>#N/A</v>
      </c>
      <c r="E71" s="97"/>
      <c r="F71" s="1" t="e">
        <f>IF(D71&lt;&gt;"OK",1,0)</f>
        <v>#N/A</v>
      </c>
    </row>
    <row r="72" spans="1:6" ht="30">
      <c r="B72" s="98" t="s">
        <v>87</v>
      </c>
      <c r="C72" s="95" t="str">
        <f>IF(D58&lt;=0.2,"ANO","NE")</f>
        <v>ANO</v>
      </c>
      <c r="D72" s="96" t="str">
        <f>IF(C72="NE","Maximální podíl režie je 20 % celkových nákladů","OK")</f>
        <v>OK</v>
      </c>
      <c r="E72" s="97"/>
      <c r="F72" s="1">
        <f>IF(D72&lt;&gt;"OK",1,0)</f>
        <v>0</v>
      </c>
    </row>
    <row r="73" spans="1:6">
      <c r="B73" s="98" t="s">
        <v>88</v>
      </c>
      <c r="C73" s="95" t="e">
        <f>IF(F12=0,"ANO","NE")</f>
        <v>#N/A</v>
      </c>
      <c r="D73" s="96" t="e">
        <f>IF(C73="NE",CONCATENATE(F12," ",G12," rozpočtu bez zdůvodnění změny"),"OK")</f>
        <v>#N/A</v>
      </c>
      <c r="E73" s="97"/>
      <c r="F73" s="1" t="e">
        <f>IF(D73&lt;&gt;"OK",1,0)</f>
        <v>#N/A</v>
      </c>
    </row>
    <row r="74" spans="1:6" ht="31.5" customHeight="1">
      <c r="B74" s="158" t="str">
        <f>IF(C3="ANO","Rozpočet dle změnového rozhodnutí","---")</f>
        <v>---</v>
      </c>
      <c r="C74" s="157" t="str">
        <f>IF(C3="NE","---",IF(AND(C3="ANO",K60&lt;&gt;VLOOKUP(CONCATENATE("MIZPP",'Projekt a žadatel'!C4,'Projekt a žadatel'!C7,'Projekt a žadatel'!C3),DB_rozpočtů!A3:CT80,67,FALSE)),"NE","ANO"))</f>
        <v>---</v>
      </c>
      <c r="D74" s="239" t="str">
        <f>IF(C3="ANO",IF(C74="NE","Nesprávně vyplěný rozpočet ve smyslu změnového rozhodnutí. Úhrn rozpočtu změnového rozhodnutí musí být stejný jako původní rozpočet","OK"),"---")</f>
        <v>---</v>
      </c>
      <c r="E74" s="239"/>
    </row>
    <row r="75" spans="1:6" ht="18.75" customHeight="1">
      <c r="B75" s="83"/>
      <c r="C75" s="84"/>
      <c r="D75" s="84"/>
      <c r="E75" s="84"/>
    </row>
    <row r="76" spans="1:6">
      <c r="B76" s="99" t="s">
        <v>84</v>
      </c>
      <c r="C76" s="84"/>
      <c r="D76" s="84"/>
      <c r="E76" s="84"/>
    </row>
    <row r="77" spans="1:6">
      <c r="B77" s="95" t="s">
        <v>77</v>
      </c>
      <c r="C77" s="95" t="e">
        <f>IF(AND(C12=0,D12&gt;0),"Podstatná změna",IF(D12=C12,"Žádná změna kapitoly",IF(D12/C12&gt;1.15,"Podstatná změna",IF(D12/C12&lt;=1.15,"Nepodstatná změna"))))</f>
        <v>#N/A</v>
      </c>
      <c r="D77" s="84"/>
      <c r="E77" s="84"/>
      <c r="F77" s="1" t="e">
        <f>IF(C77="Podstatná změna",1,0)</f>
        <v>#N/A</v>
      </c>
    </row>
    <row r="78" spans="1:6">
      <c r="B78" s="95" t="s">
        <v>13</v>
      </c>
      <c r="C78" s="95" t="e">
        <f>IF(AND(C16=0,D16&gt;0),"Podstatná změna",IF(D16=C16,"Žádná změna kapitoly",IF(D16/C16&gt;1.15,"Podstatná změna",IF(D16/C16&lt;=1.15,"Nepodstatná změna"))))</f>
        <v>#N/A</v>
      </c>
      <c r="D78" s="84"/>
      <c r="E78" s="84"/>
      <c r="F78" s="1" t="e">
        <f>IF(C78="Podstatná změna",1,0)</f>
        <v>#N/A</v>
      </c>
    </row>
    <row r="79" spans="1:6">
      <c r="B79" s="95" t="s">
        <v>78</v>
      </c>
      <c r="C79" s="95" t="e">
        <f>IF(AND(C19=0,D19&gt;0),"Podstatná změna",IF(D19=C19,"Žádná změna kapitoly",IF(D19/C19&gt;1.15,"Podstatná změna",IF(D19/C19&lt;=1.15,"Nepodstatná změna"))))</f>
        <v>#N/A</v>
      </c>
      <c r="D79" s="84"/>
      <c r="E79" s="84"/>
      <c r="F79" s="1" t="e">
        <f>IF(C79="Podstatná změna",1,0)</f>
        <v>#N/A</v>
      </c>
    </row>
    <row r="80" spans="1:6">
      <c r="B80" s="95" t="s">
        <v>79</v>
      </c>
      <c r="C80" s="95" t="e">
        <f>IF(AND(C33=0,D33&gt;0),"Podstatná změna",IF(D33=C33,"Žádná změna kapitoly",IF(D33/C33&gt;1.15,"Podstatná změna",IF(D33/C33&lt;=1.15,"Nepodstatná změna"))))</f>
        <v>#N/A</v>
      </c>
      <c r="D80" s="84"/>
      <c r="E80" s="84"/>
      <c r="F80" s="1" t="e">
        <f>IF(C80="Podstatná změna",1,0)</f>
        <v>#N/A</v>
      </c>
    </row>
    <row r="81" spans="2:6">
      <c r="B81" s="95" t="s">
        <v>83</v>
      </c>
      <c r="C81" s="95" t="e">
        <f>IF(AND(C57=0,D57&gt;0),"Podstatná změna",IF(D57=C57,"Žádná změna kapitoly",IF(D57/C57&gt;1.15,"Podstatná změna",IF(D57/C57&lt;=1.15,"Nepodstatná změna"))))</f>
        <v>#N/A</v>
      </c>
      <c r="D81" s="84"/>
      <c r="E81" s="84"/>
      <c r="F81" s="1" t="e">
        <f>IF(C81="Podstatná změna",1,0)</f>
        <v>#N/A</v>
      </c>
    </row>
    <row r="82" spans="2:6">
      <c r="B82" s="83"/>
      <c r="C82" s="84"/>
      <c r="D82" s="84"/>
      <c r="E82" s="84"/>
      <c r="F82" s="1" t="e">
        <f>SUM(F77:F81)</f>
        <v>#N/A</v>
      </c>
    </row>
    <row r="83" spans="2:6">
      <c r="B83" s="83"/>
      <c r="C83" s="84"/>
      <c r="D83" s="84"/>
      <c r="E83" s="84"/>
    </row>
    <row r="84" spans="2:6">
      <c r="B84" s="83"/>
      <c r="C84" s="84"/>
      <c r="D84" s="84"/>
      <c r="E84" s="100"/>
    </row>
  </sheetData>
  <sheetProtection algorithmName="SHA-512" hashValue="qm3GgVMDLhWUVqi9UTi7T+Vf9rs8W2kzVcvHKp88gLox8cNKunMy05obqTThnqMurPGBCyjUJvcbeZBu+BpDUg==" saltValue="kNQAZNexLIWCIjNyUHbFFg==" spinCount="100000" sheet="1" formatCells="0" formatColumns="0"/>
  <mergeCells count="4">
    <mergeCell ref="B10:E10"/>
    <mergeCell ref="C4:E4"/>
    <mergeCell ref="C5:E5"/>
    <mergeCell ref="D74:E74"/>
  </mergeCells>
  <phoneticPr fontId="0" type="noConversion"/>
  <conditionalFormatting sqref="A42:B44">
    <cfRule type="expression" dxfId="36" priority="9" stopIfTrue="1">
      <formula>$F$11="NE"</formula>
    </cfRule>
  </conditionalFormatting>
  <conditionalFormatting sqref="A8:E14">
    <cfRule type="expression" dxfId="35" priority="7" stopIfTrue="1">
      <formula>$F$11="NE"</formula>
    </cfRule>
  </conditionalFormatting>
  <conditionalFormatting sqref="A15:E22">
    <cfRule type="expression" dxfId="34" priority="25" stopIfTrue="1">
      <formula>$F$11="NE"</formula>
    </cfRule>
  </conditionalFormatting>
  <conditionalFormatting sqref="A23:E39">
    <cfRule type="expression" dxfId="33" priority="4" stopIfTrue="1">
      <formula>$F$11="NE"</formula>
    </cfRule>
  </conditionalFormatting>
  <conditionalFormatting sqref="C58">
    <cfRule type="cellIs" dxfId="32" priority="11" stopIfTrue="1" operator="greaterThan">
      <formula>0.2</formula>
    </cfRule>
  </conditionalFormatting>
  <conditionalFormatting sqref="C58:D58">
    <cfRule type="cellIs" dxfId="31" priority="36" stopIfTrue="1" operator="greaterThan">
      <formula>0.2</formula>
    </cfRule>
  </conditionalFormatting>
  <conditionalFormatting sqref="D40:D43">
    <cfRule type="expression" dxfId="30" priority="23" stopIfTrue="1">
      <formula>$F$11="NE"</formula>
    </cfRule>
  </conditionalFormatting>
  <conditionalFormatting sqref="D67">
    <cfRule type="expression" dxfId="29" priority="18" stopIfTrue="1">
      <formula>$E$11="NE"</formula>
    </cfRule>
  </conditionalFormatting>
  <conditionalFormatting sqref="E13:E14">
    <cfRule type="expression" dxfId="28" priority="8" stopIfTrue="1">
      <formula>AND(C13&lt;&gt;D13,E13="")</formula>
    </cfRule>
  </conditionalFormatting>
  <conditionalFormatting sqref="E15">
    <cfRule type="expression" dxfId="27" priority="26" stopIfTrue="1">
      <formula>AND(C15&lt;&gt;D15,E15="")</formula>
    </cfRule>
  </conditionalFormatting>
  <conditionalFormatting sqref="E17:E18">
    <cfRule type="expression" dxfId="26" priority="33" stopIfTrue="1">
      <formula>AND(C17&lt;&gt;D17,E17="")</formula>
    </cfRule>
  </conditionalFormatting>
  <conditionalFormatting sqref="E20:E22">
    <cfRule type="expression" dxfId="25" priority="22" stopIfTrue="1">
      <formula>AND(C20&lt;&gt;D20,E20="")</formula>
    </cfRule>
  </conditionalFormatting>
  <conditionalFormatting sqref="E24:E32">
    <cfRule type="expression" dxfId="24" priority="32" stopIfTrue="1">
      <formula>AND(C24&lt;&gt;D24,E24="")</formula>
    </cfRule>
  </conditionalFormatting>
  <conditionalFormatting sqref="E34:E38">
    <cfRule type="expression" dxfId="23" priority="30" stopIfTrue="1">
      <formula>AND(C34&lt;&gt;D34,E34="")</formula>
    </cfRule>
  </conditionalFormatting>
  <conditionalFormatting sqref="E39">
    <cfRule type="expression" dxfId="22" priority="3" stopIfTrue="1">
      <formula>AND(C39&lt;&gt;D39,E39="")</formula>
    </cfRule>
  </conditionalFormatting>
  <conditionalFormatting sqref="E40:E55">
    <cfRule type="expression" dxfId="21" priority="29" stopIfTrue="1">
      <formula>AND(C40&lt;&gt;D40,E40="")</formula>
    </cfRule>
  </conditionalFormatting>
  <conditionalFormatting sqref="E57">
    <cfRule type="expression" dxfId="20" priority="28" stopIfTrue="1">
      <formula>AND(C57&lt;&gt;D57,E57="")</formula>
    </cfRule>
  </conditionalFormatting>
  <conditionalFormatting sqref="K11:K43">
    <cfRule type="expression" dxfId="19" priority="2" stopIfTrue="1">
      <formula>$F$11="NE"</formula>
    </cfRule>
  </conditionalFormatting>
  <conditionalFormatting sqref="K44:K60 A45:D66 A40:C41 E40:E73 C41:C43 C44:D44 A67:C67 A68:D82 E75:E82">
    <cfRule type="expression" dxfId="17" priority="27" stopIfTrue="1">
      <formula>$F$11="NE"</formula>
    </cfRule>
  </conditionalFormatting>
  <conditionalFormatting sqref="K58">
    <cfRule type="cellIs" dxfId="16" priority="17" stopIfTrue="1" operator="greaterThan">
      <formula>0.2</formula>
    </cfRule>
  </conditionalFormatting>
  <pageMargins left="0.39370078740157483" right="0.27559055118110237" top="0.49" bottom="0.39370078740157483" header="0.38" footer="0.51181102362204722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546374-F883-4B8F-B9B8-068C072EA226}">
            <xm:f>'Projekt a žadatel'!$E$23="NE"</xm:f>
            <x14:dxf>
              <font>
                <strike val="0"/>
                <color theme="0"/>
              </font>
              <fill>
                <patternFill>
                  <bgColor theme="0"/>
                </patternFill>
              </fill>
              <border>
                <left style="thin">
                  <color auto="1"/>
                </left>
                <right/>
                <top/>
                <bottom/>
                <vertical/>
                <horizontal/>
              </border>
            </x14:dxf>
          </x14:cfRule>
          <xm:sqref>K11:K60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F46"/>
  <sheetViews>
    <sheetView showGridLines="0" zoomScale="110" zoomScaleNormal="110" workbookViewId="0">
      <selection activeCell="C22" sqref="C22"/>
    </sheetView>
  </sheetViews>
  <sheetFormatPr defaultColWidth="9.33203125" defaultRowHeight="12.75"/>
  <cols>
    <col min="1" max="1" width="22" style="16" customWidth="1"/>
    <col min="2" max="2" width="11" style="16" customWidth="1"/>
    <col min="3" max="3" width="25.6640625" style="16" customWidth="1"/>
    <col min="4" max="4" width="27.6640625" style="16" customWidth="1"/>
    <col min="5" max="5" width="8.83203125" style="16" customWidth="1"/>
    <col min="6" max="6" width="0" style="16" hidden="1" customWidth="1"/>
    <col min="7" max="16384" width="9.33203125" style="16"/>
  </cols>
  <sheetData>
    <row r="1" spans="1:6" ht="22.5">
      <c r="A1" s="102" t="s">
        <v>81</v>
      </c>
      <c r="B1" s="13"/>
      <c r="C1" s="14"/>
      <c r="D1" s="15"/>
      <c r="E1" s="9"/>
      <c r="F1" s="16" t="str">
        <f>+'Projekt a žadatel'!D24</f>
        <v>ANO</v>
      </c>
    </row>
    <row r="2" spans="1:6" ht="22.5">
      <c r="A2" s="19" t="str">
        <f>IF('Projekt a žadatel'!D24="NE","Na úvodním listu je uvedeno, že o navýšení podílu dotace nežádáte. Tento list proto není třeba vyplňovat","")</f>
        <v/>
      </c>
      <c r="B2" s="13"/>
      <c r="C2" s="14"/>
      <c r="D2" s="15"/>
      <c r="E2" s="9"/>
    </row>
    <row r="3" spans="1:6" ht="22.5">
      <c r="A3" s="57" t="s">
        <v>30</v>
      </c>
      <c r="B3" s="13"/>
      <c r="C3" s="105" t="str">
        <f>+'Žádost o změnu rozpočtu'!C2</f>
        <v>/32/25</v>
      </c>
      <c r="D3" s="106"/>
      <c r="E3" s="107"/>
    </row>
    <row r="4" spans="1:6" ht="41.25" customHeight="1">
      <c r="A4" s="57" t="s">
        <v>3</v>
      </c>
      <c r="B4" s="13"/>
      <c r="C4" s="240" t="str">
        <f>+'Žádost o změnu rozpočtu'!C4:E4</f>
        <v/>
      </c>
      <c r="D4" s="240"/>
      <c r="E4" s="240"/>
    </row>
    <row r="5" spans="1:6" ht="39.75" customHeight="1">
      <c r="A5" s="57" t="s">
        <v>31</v>
      </c>
      <c r="B5" s="13"/>
      <c r="C5" s="240" t="str">
        <f>+'Žádost o změnu rozpočtu'!C5:E5</f>
        <v/>
      </c>
      <c r="D5" s="240"/>
      <c r="E5" s="240"/>
    </row>
    <row r="6" spans="1:6" ht="22.5">
      <c r="A6" s="57" t="s">
        <v>32</v>
      </c>
      <c r="B6" s="13"/>
      <c r="C6" s="108" t="str">
        <f>CONCATENATE('Žádost o změnu rozpočtu'!C6)</f>
        <v/>
      </c>
      <c r="D6" s="109"/>
      <c r="E6" s="109"/>
    </row>
    <row r="7" spans="1:6">
      <c r="A7" s="65"/>
      <c r="C7" s="65"/>
      <c r="D7" s="65"/>
      <c r="E7" s="65"/>
    </row>
    <row r="8" spans="1:6">
      <c r="A8" s="103" t="str">
        <f>IF('Projekt a žadatel'!C5="","Formulář nelze vyplnit - nebyl načten rozpočet! Zadejte správné číslo projektu a IČ na listu Projekt a žadatel.","")</f>
        <v>Formulář nelze vyplnit - nebyl načten rozpočet! Zadejte správné číslo projektu a IČ na listu Projekt a žadatel.</v>
      </c>
      <c r="C8" s="65"/>
      <c r="D8" s="65"/>
      <c r="E8" s="65"/>
    </row>
    <row r="9" spans="1:6" ht="15.75">
      <c r="A9" s="57" t="s">
        <v>89</v>
      </c>
      <c r="C9" s="65"/>
      <c r="D9" s="65"/>
      <c r="E9" s="65"/>
    </row>
    <row r="10" spans="1:6">
      <c r="A10" s="65"/>
      <c r="C10" s="65"/>
      <c r="D10" s="65"/>
      <c r="E10" s="65"/>
    </row>
    <row r="11" spans="1:6" ht="15.75">
      <c r="A11" s="57" t="s">
        <v>35</v>
      </c>
      <c r="C11" s="65"/>
      <c r="D11" s="65"/>
      <c r="E11" s="65"/>
    </row>
    <row r="12" spans="1:6" ht="15.75">
      <c r="A12" s="57"/>
      <c r="C12" s="65"/>
      <c r="D12" s="65"/>
      <c r="E12" s="65"/>
    </row>
    <row r="13" spans="1:6" ht="15.75">
      <c r="A13" s="104" t="s">
        <v>34</v>
      </c>
      <c r="C13" s="110" t="e">
        <f>VLOOKUP(CONCATENATE("MIZPP",'Projekt a žadatel'!C4,'Projekt a žadatel'!C7,'Projekt a žadatel'!C3),DB_rozpočtů!A3:CT80,71,FALSE)</f>
        <v>#N/A</v>
      </c>
      <c r="D13" s="65"/>
      <c r="E13" s="65"/>
    </row>
    <row r="14" spans="1:6" ht="15.75">
      <c r="A14" s="104" t="s">
        <v>36</v>
      </c>
      <c r="C14" s="110" t="e">
        <f>VLOOKUP(CONCATENATE("MIZPP",'Projekt a žadatel'!C4,'Projekt a žadatel'!C7,'Projekt a žadatel'!C3),DB_rozpočtů!A3:CT80,72,FALSE)</f>
        <v>#N/A</v>
      </c>
      <c r="D14" s="65"/>
      <c r="E14" s="65"/>
    </row>
    <row r="15" spans="1:6" ht="15.75">
      <c r="A15" s="104" t="s">
        <v>37</v>
      </c>
      <c r="C15" s="110" t="e">
        <f>+C14+C13</f>
        <v>#N/A</v>
      </c>
      <c r="D15" s="65"/>
      <c r="E15" s="65"/>
    </row>
    <row r="16" spans="1:6" ht="15.75">
      <c r="A16" s="104" t="s">
        <v>38</v>
      </c>
      <c r="C16" s="111" t="e">
        <f>IF(C15&lt;&gt;0,C13/C15,0)</f>
        <v>#N/A</v>
      </c>
      <c r="D16" s="65"/>
      <c r="E16" s="65"/>
    </row>
    <row r="17" spans="1:5">
      <c r="A17" s="65"/>
      <c r="C17" s="65"/>
      <c r="D17" s="65"/>
      <c r="E17" s="65"/>
    </row>
    <row r="18" spans="1:5">
      <c r="A18" s="65"/>
      <c r="C18" s="65"/>
      <c r="D18" s="65"/>
      <c r="E18" s="65"/>
    </row>
    <row r="19" spans="1:5" ht="15.75">
      <c r="A19" s="57" t="s">
        <v>39</v>
      </c>
      <c r="C19" s="65"/>
      <c r="D19" s="127"/>
      <c r="E19" s="65"/>
    </row>
    <row r="20" spans="1:5">
      <c r="A20" s="65"/>
      <c r="C20" s="65"/>
      <c r="D20" s="65"/>
      <c r="E20" s="65"/>
    </row>
    <row r="21" spans="1:5" ht="15.75">
      <c r="A21" s="104" t="s">
        <v>34</v>
      </c>
      <c r="C21" s="110" t="e">
        <f>+C13</f>
        <v>#N/A</v>
      </c>
      <c r="D21" s="65"/>
      <c r="E21" s="65"/>
    </row>
    <row r="22" spans="1:5" ht="15.75">
      <c r="A22" s="104" t="s">
        <v>36</v>
      </c>
      <c r="C22" s="112">
        <v>250</v>
      </c>
      <c r="D22" s="65"/>
      <c r="E22" s="65"/>
    </row>
    <row r="23" spans="1:5" ht="15.75">
      <c r="A23" s="104" t="s">
        <v>37</v>
      </c>
      <c r="C23" s="110" t="e">
        <f>+C22+C21</f>
        <v>#N/A</v>
      </c>
      <c r="D23" s="65"/>
      <c r="E23" s="65"/>
    </row>
    <row r="24" spans="1:5" ht="15.75">
      <c r="A24" s="104" t="s">
        <v>38</v>
      </c>
      <c r="C24" s="111" t="e">
        <f>IF(C23&lt;&gt;0,C21/C23,0)</f>
        <v>#N/A</v>
      </c>
      <c r="D24" s="113" t="e">
        <f>IF(C24&gt;0.7,"Max. podíl dotace může být 70%!","")</f>
        <v>#N/A</v>
      </c>
      <c r="E24" s="65"/>
    </row>
    <row r="25" spans="1:5">
      <c r="A25" s="65"/>
    </row>
    <row r="26" spans="1:5" ht="15.75">
      <c r="A26" s="57" t="s">
        <v>82</v>
      </c>
    </row>
    <row r="27" spans="1:5">
      <c r="A27" s="241"/>
      <c r="B27" s="242"/>
      <c r="C27" s="242"/>
      <c r="D27" s="243"/>
    </row>
    <row r="28" spans="1:5">
      <c r="A28" s="244"/>
      <c r="B28" s="245"/>
      <c r="C28" s="245"/>
      <c r="D28" s="246"/>
    </row>
    <row r="29" spans="1:5">
      <c r="A29" s="244"/>
      <c r="B29" s="245"/>
      <c r="C29" s="245"/>
      <c r="D29" s="246"/>
    </row>
    <row r="30" spans="1:5">
      <c r="A30" s="244"/>
      <c r="B30" s="245"/>
      <c r="C30" s="245"/>
      <c r="D30" s="246"/>
    </row>
    <row r="31" spans="1:5">
      <c r="A31" s="244"/>
      <c r="B31" s="245"/>
      <c r="C31" s="245"/>
      <c r="D31" s="246"/>
    </row>
    <row r="32" spans="1:5">
      <c r="A32" s="244"/>
      <c r="B32" s="245"/>
      <c r="C32" s="245"/>
      <c r="D32" s="246"/>
    </row>
    <row r="33" spans="1:4">
      <c r="A33" s="244"/>
      <c r="B33" s="245"/>
      <c r="C33" s="245"/>
      <c r="D33" s="246"/>
    </row>
    <row r="34" spans="1:4">
      <c r="A34" s="244"/>
      <c r="B34" s="245"/>
      <c r="C34" s="245"/>
      <c r="D34" s="246"/>
    </row>
    <row r="35" spans="1:4">
      <c r="A35" s="244"/>
      <c r="B35" s="245"/>
      <c r="C35" s="245"/>
      <c r="D35" s="246"/>
    </row>
    <row r="36" spans="1:4">
      <c r="A36" s="244"/>
      <c r="B36" s="245"/>
      <c r="C36" s="245"/>
      <c r="D36" s="246"/>
    </row>
    <row r="37" spans="1:4">
      <c r="A37" s="244"/>
      <c r="B37" s="245"/>
      <c r="C37" s="245"/>
      <c r="D37" s="246"/>
    </row>
    <row r="38" spans="1:4">
      <c r="A38" s="247"/>
      <c r="B38" s="248"/>
      <c r="C38" s="248"/>
      <c r="D38" s="249"/>
    </row>
    <row r="39" spans="1:4">
      <c r="A39" s="65"/>
      <c r="B39" s="65"/>
      <c r="C39" s="65"/>
      <c r="D39" s="65"/>
    </row>
    <row r="40" spans="1:4">
      <c r="A40" s="103" t="e">
        <f>IF(C24&lt;=C16,"Žádat je třeba pouze o navýšení podílu dotace. V žádané změně podíl navýšen není","")</f>
        <v>#N/A</v>
      </c>
      <c r="B40" s="65"/>
      <c r="C40" s="65"/>
      <c r="D40" s="65"/>
    </row>
    <row r="41" spans="1:4">
      <c r="A41" s="114" t="s">
        <v>40</v>
      </c>
      <c r="B41" s="250" t="e">
        <f>VLOOKUP(CONCATENATE("MIZPP",'Projekt a žadatel'!C4,'Projekt a žadatel'!C7,'Projekt a žadatel'!C3),DB_rozpočtů!A$3:CS$80,17,FALSE)</f>
        <v>#N/A</v>
      </c>
      <c r="C41" s="250"/>
      <c r="D41" s="250"/>
    </row>
    <row r="42" spans="1:4">
      <c r="A42" s="65"/>
      <c r="B42" s="65"/>
      <c r="C42" s="65"/>
      <c r="D42" s="65"/>
    </row>
    <row r="43" spans="1:4" hidden="1">
      <c r="A43" s="65" t="s">
        <v>125</v>
      </c>
      <c r="B43" s="65"/>
      <c r="C43" s="65"/>
      <c r="D43" s="65" t="s">
        <v>126</v>
      </c>
    </row>
    <row r="44" spans="1:4" ht="16.5" hidden="1" customHeight="1">
      <c r="A44" s="245"/>
      <c r="B44" s="245"/>
      <c r="C44" s="115"/>
      <c r="D44" s="89"/>
    </row>
    <row r="46" spans="1:4">
      <c r="A46" s="114" t="s">
        <v>204</v>
      </c>
    </row>
  </sheetData>
  <sheetProtection algorithmName="SHA-512" hashValue="TdaVi9HP7s3rP0btMZY3BGTf0UK6vOqdoTqQpxDmDe+Kqk+gJ7donZ3bQOXoV7wrJDnTTRI7JJEFmmDPxsTRPA==" saltValue="Z5rj2HS5xA/3/OEFG/8Y8A==" spinCount="100000" sheet="1" formatCells="0" selectLockedCells="1"/>
  <mergeCells count="5">
    <mergeCell ref="C4:E4"/>
    <mergeCell ref="C5:E5"/>
    <mergeCell ref="A27:D38"/>
    <mergeCell ref="B41:D41"/>
    <mergeCell ref="A44:B44"/>
  </mergeCells>
  <conditionalFormatting sqref="A44 C44">
    <cfRule type="expression" dxfId="15" priority="3" stopIfTrue="1">
      <formula>$E$10="NE"</formula>
    </cfRule>
  </conditionalFormatting>
  <conditionalFormatting sqref="A9:E43 E44 A45:E46">
    <cfRule type="expression" dxfId="14" priority="4" stopIfTrue="1">
      <formula>$F$1="NE"</formula>
    </cfRule>
  </conditionalFormatting>
  <conditionalFormatting sqref="D44">
    <cfRule type="expression" dxfId="13" priority="1" stopIfTrue="1">
      <formula>$E$11="NE"</formula>
    </cfRule>
  </conditionalFormatting>
  <pageMargins left="0.28000000000000003" right="0.25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fitToPage="1"/>
  </sheetPr>
  <dimension ref="A1:AK98"/>
  <sheetViews>
    <sheetView showGridLines="0" topLeftCell="A5" zoomScale="90" zoomScaleNormal="90" workbookViewId="0">
      <selection activeCell="B53" sqref="B53:F64"/>
    </sheetView>
  </sheetViews>
  <sheetFormatPr defaultColWidth="9.33203125" defaultRowHeight="15"/>
  <cols>
    <col min="1" max="1" width="10" style="5" customWidth="1"/>
    <col min="2" max="2" width="31.1640625" style="3" customWidth="1"/>
    <col min="3" max="3" width="19.33203125" style="1" customWidth="1"/>
    <col min="4" max="4" width="41.5" style="1" customWidth="1"/>
    <col min="5" max="5" width="30.33203125" style="1" customWidth="1"/>
    <col min="6" max="6" width="46.1640625" style="1" customWidth="1"/>
    <col min="7" max="7" width="64.6640625" style="1" customWidth="1"/>
    <col min="8" max="8" width="9.33203125" style="1" hidden="1" customWidth="1"/>
    <col min="9" max="9" width="37.33203125" style="1" hidden="1" customWidth="1"/>
    <col min="10" max="21" width="9.33203125" style="1"/>
    <col min="22" max="25" width="0" style="1" hidden="1" customWidth="1"/>
    <col min="26" max="29" width="9.33203125" style="1"/>
    <col min="30" max="30" width="0" style="1" hidden="1" customWidth="1"/>
    <col min="31" max="16384" width="9.33203125" style="1"/>
  </cols>
  <sheetData>
    <row r="1" spans="1:37" ht="63.75" customHeight="1">
      <c r="A1" s="124" t="s">
        <v>127</v>
      </c>
      <c r="B1" s="33"/>
      <c r="C1" s="34"/>
      <c r="D1" s="35"/>
      <c r="E1" s="260" t="s">
        <v>506</v>
      </c>
      <c r="F1" s="260"/>
      <c r="G1" s="260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t="s">
        <v>479</v>
      </c>
      <c r="W1" s="162" t="s">
        <v>419</v>
      </c>
      <c r="X1" t="s">
        <v>102</v>
      </c>
      <c r="AD1" s="1" t="s">
        <v>147</v>
      </c>
      <c r="AJ1" s="261"/>
      <c r="AK1" s="261"/>
    </row>
    <row r="2" spans="1:37" ht="22.5">
      <c r="A2" s="50" t="s">
        <v>30</v>
      </c>
      <c r="B2" s="51"/>
      <c r="C2" s="123" t="str">
        <f>CONCATENATE('Projekt a žadatel'!C4,'Projekt a žadatel'!D4)</f>
        <v>/32/25</v>
      </c>
      <c r="D2" s="123"/>
      <c r="E2" s="260"/>
      <c r="F2" s="260"/>
      <c r="G2" s="260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t="s">
        <v>480</v>
      </c>
      <c r="W2" s="162" t="s">
        <v>415</v>
      </c>
      <c r="X2" t="s">
        <v>481</v>
      </c>
      <c r="AD2" s="1" t="s">
        <v>148</v>
      </c>
      <c r="AJ2" s="48"/>
      <c r="AK2"/>
    </row>
    <row r="3" spans="1:37" ht="32.25" customHeight="1">
      <c r="A3" s="50" t="s">
        <v>3</v>
      </c>
      <c r="B3" s="51"/>
      <c r="C3" s="255" t="str">
        <f>+'Projekt a žadatel'!C5:E5</f>
        <v/>
      </c>
      <c r="D3" s="255"/>
      <c r="E3" s="260"/>
      <c r="F3" s="260"/>
      <c r="G3" s="260"/>
      <c r="H3" s="116"/>
      <c r="I3" s="116"/>
      <c r="J3" s="116"/>
      <c r="K3" s="252"/>
      <c r="L3" s="252"/>
      <c r="M3" s="252"/>
      <c r="N3" s="252"/>
      <c r="O3" s="252"/>
      <c r="P3" s="252"/>
      <c r="Q3" s="252"/>
      <c r="R3" s="252"/>
      <c r="S3" s="252"/>
      <c r="T3" s="116"/>
      <c r="U3" s="116"/>
      <c r="V3" t="s">
        <v>482</v>
      </c>
      <c r="W3" s="162" t="s">
        <v>420</v>
      </c>
      <c r="X3" t="s">
        <v>102</v>
      </c>
      <c r="AD3" s="1" t="s">
        <v>149</v>
      </c>
      <c r="AJ3" s="48"/>
      <c r="AK3"/>
    </row>
    <row r="4" spans="1:37" ht="44.25" customHeight="1">
      <c r="A4" s="50" t="s">
        <v>31</v>
      </c>
      <c r="B4" s="51"/>
      <c r="C4" s="255" t="str">
        <f>+'Projekt a žadatel'!C6:E6</f>
        <v/>
      </c>
      <c r="D4" s="255"/>
      <c r="E4" s="260"/>
      <c r="F4" s="260"/>
      <c r="G4" s="260"/>
      <c r="H4" s="116"/>
      <c r="I4" s="116"/>
      <c r="J4" s="116"/>
      <c r="K4" s="253"/>
      <c r="L4" s="253"/>
      <c r="M4" s="253"/>
      <c r="N4" s="253"/>
      <c r="O4" s="253"/>
      <c r="P4" s="253"/>
      <c r="Q4" s="253"/>
      <c r="R4" s="253"/>
      <c r="S4" s="253"/>
      <c r="T4" s="116"/>
      <c r="U4" s="116"/>
      <c r="V4" t="s">
        <v>483</v>
      </c>
      <c r="W4" s="162" t="s">
        <v>432</v>
      </c>
      <c r="X4" t="s">
        <v>98</v>
      </c>
      <c r="AD4" s="1" t="s">
        <v>150</v>
      </c>
      <c r="AJ4" s="261"/>
      <c r="AK4" s="261"/>
    </row>
    <row r="5" spans="1:37" ht="24" customHeight="1">
      <c r="A5" s="50" t="s">
        <v>32</v>
      </c>
      <c r="B5" s="51"/>
      <c r="C5" s="123" t="str">
        <f>CONCATENATE(+'Projekt a žadatel'!C7)</f>
        <v/>
      </c>
      <c r="D5" s="123"/>
      <c r="E5" s="34"/>
      <c r="F5" s="34"/>
      <c r="G5" s="180"/>
      <c r="H5" s="116"/>
      <c r="I5" s="116"/>
      <c r="J5" s="116"/>
      <c r="K5" s="253"/>
      <c r="L5" s="253"/>
      <c r="M5" s="253"/>
      <c r="N5" s="253"/>
      <c r="O5" s="253"/>
      <c r="P5" s="253"/>
      <c r="Q5" s="253"/>
      <c r="R5" s="253"/>
      <c r="S5" s="253"/>
      <c r="T5" s="116"/>
      <c r="U5" s="116"/>
      <c r="V5" t="s">
        <v>484</v>
      </c>
      <c r="W5" s="162" t="s">
        <v>422</v>
      </c>
      <c r="X5" t="s">
        <v>98</v>
      </c>
      <c r="AD5" s="1" t="s">
        <v>151</v>
      </c>
      <c r="AJ5" s="261"/>
      <c r="AK5" s="261"/>
    </row>
    <row r="6" spans="1:37" ht="17.25" customHeight="1">
      <c r="A6" s="259" t="str">
        <f>IF('Projekt a žadatel'!D25="NE","Na úvodním listu je uvedeno, že o změnu závazných indikátorů projektu nežádáte. Tento list proto není třeba vyplňovat","Vyplňte kompletní sadu indikátorů ve smyslu požadované změny. Pokud žádáte o zrušení některého indikátoru uveďte novou hodnotu 0. Nově navržené indikátory zapisujte na řádky označené číslem N1-N15.")</f>
        <v>Vyplňte kompletní sadu indikátorů ve smyslu požadované změny. Pokud žádáte o zrušení některého indikátoru uveďte novou hodnotu 0. Nově navržené indikátory zapisujte na řádky označené číslem N1-N15.</v>
      </c>
      <c r="B6" s="259"/>
      <c r="C6" s="259"/>
      <c r="D6" s="259"/>
      <c r="E6" s="259"/>
      <c r="F6" s="259"/>
      <c r="G6" s="259"/>
      <c r="H6" s="116"/>
      <c r="I6" s="116"/>
      <c r="J6" s="116"/>
      <c r="K6" s="253"/>
      <c r="L6" s="253"/>
      <c r="M6" s="253"/>
      <c r="N6" s="253"/>
      <c r="O6" s="253"/>
      <c r="P6" s="253"/>
      <c r="Q6" s="253"/>
      <c r="R6" s="253"/>
      <c r="S6" s="253"/>
      <c r="T6" s="116"/>
      <c r="U6" s="116"/>
      <c r="V6" t="s">
        <v>485</v>
      </c>
      <c r="W6" s="162" t="s">
        <v>133</v>
      </c>
      <c r="X6" t="s">
        <v>98</v>
      </c>
      <c r="AD6" s="1" t="s">
        <v>152</v>
      </c>
      <c r="AJ6" s="261"/>
      <c r="AK6" s="261"/>
    </row>
    <row r="7" spans="1:37" ht="27" customHeight="1">
      <c r="A7" s="125" t="s">
        <v>103</v>
      </c>
      <c r="B7" s="33"/>
      <c r="C7" s="39"/>
      <c r="D7" s="258" t="str">
        <f>IF('Projekt a žadatel'!C5="","Formulář nelze vyplnit - nebyly načteny výstupy! Zadejte správné číslo projektu a IČ na listu Projekt a žadatel.","")</f>
        <v>Formulář nelze vyplnit - nebyly načteny výstupy! Zadejte správné číslo projektu a IČ na listu Projekt a žadatel.</v>
      </c>
      <c r="E7" s="258"/>
      <c r="F7" s="258"/>
      <c r="G7" s="180"/>
      <c r="H7" s="116"/>
      <c r="I7" s="116"/>
      <c r="J7" s="116"/>
      <c r="K7" s="253"/>
      <c r="L7" s="253"/>
      <c r="M7" s="253"/>
      <c r="N7" s="253"/>
      <c r="O7" s="253"/>
      <c r="P7" s="253"/>
      <c r="Q7" s="253"/>
      <c r="R7" s="253"/>
      <c r="S7" s="253"/>
      <c r="T7" s="116"/>
      <c r="U7" s="116"/>
      <c r="V7" t="s">
        <v>486</v>
      </c>
      <c r="W7" s="163" t="s">
        <v>412</v>
      </c>
      <c r="X7" t="s">
        <v>98</v>
      </c>
      <c r="AD7" s="1" t="s">
        <v>153</v>
      </c>
      <c r="AJ7" s="261"/>
      <c r="AK7" s="261"/>
    </row>
    <row r="8" spans="1:37" ht="11.25" hidden="1" customHeight="1">
      <c r="A8" s="36"/>
      <c r="B8" s="33"/>
      <c r="C8" s="38"/>
      <c r="D8" s="37"/>
      <c r="E8" s="34"/>
      <c r="F8" s="34"/>
      <c r="G8" s="180"/>
      <c r="H8" s="116"/>
      <c r="I8" s="116"/>
      <c r="J8" s="116"/>
      <c r="K8" s="117"/>
      <c r="L8" s="117"/>
      <c r="M8" s="117"/>
      <c r="N8" s="117"/>
      <c r="O8" s="117"/>
      <c r="P8" s="117"/>
      <c r="Q8" s="117"/>
      <c r="R8" s="117"/>
      <c r="S8" s="117"/>
      <c r="T8" s="116"/>
      <c r="U8" s="116"/>
      <c r="V8" t="s">
        <v>487</v>
      </c>
      <c r="W8" s="163" t="s">
        <v>488</v>
      </c>
      <c r="X8" t="s">
        <v>489</v>
      </c>
      <c r="AD8" s="1" t="s">
        <v>154</v>
      </c>
      <c r="AJ8" s="261"/>
      <c r="AK8" s="261"/>
    </row>
    <row r="9" spans="1:37" ht="22.5" hidden="1" customHeight="1">
      <c r="A9" s="40"/>
      <c r="B9" s="256"/>
      <c r="C9" s="256"/>
      <c r="D9" s="256"/>
      <c r="E9" s="34"/>
      <c r="F9" s="34"/>
      <c r="G9" s="180"/>
      <c r="H9" s="116"/>
      <c r="I9" s="116"/>
      <c r="J9" s="116"/>
      <c r="K9" s="117"/>
      <c r="L9" s="117"/>
      <c r="M9" s="117"/>
      <c r="N9" s="117"/>
      <c r="O9" s="117"/>
      <c r="P9" s="117"/>
      <c r="Q9" s="117"/>
      <c r="R9" s="117"/>
      <c r="S9" s="117"/>
      <c r="T9" s="116"/>
      <c r="U9" s="116"/>
      <c r="V9" t="s">
        <v>490</v>
      </c>
      <c r="W9" s="162" t="s">
        <v>134</v>
      </c>
      <c r="X9" t="s">
        <v>98</v>
      </c>
      <c r="AD9" s="1" t="s">
        <v>155</v>
      </c>
      <c r="AJ9" s="48"/>
      <c r="AK9"/>
    </row>
    <row r="10" spans="1:37" s="6" customFormat="1" ht="33" hidden="1" customHeight="1">
      <c r="A10" s="42" t="s">
        <v>470</v>
      </c>
      <c r="B10" s="41" t="s">
        <v>471</v>
      </c>
      <c r="C10" s="41" t="s">
        <v>472</v>
      </c>
      <c r="D10" s="41" t="s">
        <v>473</v>
      </c>
      <c r="E10" s="53"/>
      <c r="F10" s="54"/>
      <c r="G10" s="180"/>
      <c r="H10" s="118"/>
      <c r="I10" s="118"/>
      <c r="J10" s="118"/>
      <c r="T10" s="118"/>
      <c r="U10" s="118"/>
      <c r="V10" t="s">
        <v>491</v>
      </c>
      <c r="W10" s="162" t="s">
        <v>423</v>
      </c>
      <c r="X10" t="s">
        <v>98</v>
      </c>
      <c r="AD10" s="49"/>
      <c r="AJ10" s="49"/>
    </row>
    <row r="11" spans="1:37" ht="76.5" hidden="1" customHeight="1">
      <c r="A11" s="47"/>
      <c r="B11" s="52"/>
      <c r="C11" s="52"/>
      <c r="D11" s="52"/>
      <c r="E11" s="55"/>
      <c r="G11" s="180"/>
      <c r="H11" s="116"/>
      <c r="I11" s="116"/>
      <c r="J11" s="116"/>
      <c r="T11" s="116"/>
      <c r="U11" s="116"/>
      <c r="V11" t="s">
        <v>492</v>
      </c>
      <c r="W11" s="163" t="s">
        <v>138</v>
      </c>
      <c r="X11" t="s">
        <v>98</v>
      </c>
    </row>
    <row r="12" spans="1:37" ht="102" hidden="1" customHeight="1">
      <c r="A12" s="42"/>
      <c r="B12" s="43"/>
      <c r="C12" s="30"/>
      <c r="D12" s="44"/>
      <c r="E12" s="34"/>
      <c r="F12" s="34"/>
      <c r="G12" s="18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t="s">
        <v>493</v>
      </c>
      <c r="W12" s="163" t="s">
        <v>418</v>
      </c>
      <c r="X12" t="s">
        <v>489</v>
      </c>
    </row>
    <row r="13" spans="1:37" ht="51" hidden="1" customHeight="1">
      <c r="B13" s="23"/>
      <c r="C13" s="30"/>
      <c r="D13" s="31"/>
      <c r="G13" s="180"/>
      <c r="V13" t="s">
        <v>494</v>
      </c>
      <c r="W13" s="163" t="s">
        <v>137</v>
      </c>
      <c r="X13" t="s">
        <v>98</v>
      </c>
    </row>
    <row r="14" spans="1:37" ht="21.75" customHeight="1">
      <c r="B14" s="23"/>
      <c r="C14" s="30"/>
      <c r="D14" s="31"/>
      <c r="G14" s="180"/>
      <c r="V14" t="s">
        <v>495</v>
      </c>
      <c r="W14" s="164" t="s">
        <v>496</v>
      </c>
      <c r="X14" t="s">
        <v>497</v>
      </c>
    </row>
    <row r="15" spans="1:37" ht="34.5" customHeight="1">
      <c r="B15" s="119" t="str">
        <f>CONCATENATE("Nová verze přehledu závazných projektových výstupů uvedených v Rozhodnutí ",C2)</f>
        <v>Nová verze přehledu závazných projektových výstupů uvedených v Rozhodnutí /32/25</v>
      </c>
      <c r="C15" s="30"/>
      <c r="D15" s="31"/>
      <c r="V15" t="s">
        <v>498</v>
      </c>
      <c r="W15" s="163" t="s">
        <v>430</v>
      </c>
      <c r="X15" t="s">
        <v>141</v>
      </c>
    </row>
    <row r="16" spans="1:37" ht="76.5">
      <c r="A16" s="130" t="s">
        <v>41</v>
      </c>
      <c r="B16" s="130" t="s">
        <v>104</v>
      </c>
      <c r="C16" s="130" t="s">
        <v>211</v>
      </c>
      <c r="D16" s="130" t="s">
        <v>224</v>
      </c>
      <c r="E16" s="130" t="s">
        <v>156</v>
      </c>
      <c r="F16" s="130" t="s">
        <v>145</v>
      </c>
      <c r="G16" s="130" t="s">
        <v>114</v>
      </c>
      <c r="V16" t="s">
        <v>499</v>
      </c>
      <c r="W16" s="163" t="s">
        <v>139</v>
      </c>
      <c r="X16" t="s">
        <v>144</v>
      </c>
    </row>
    <row r="17" spans="1:24" s="3" customFormat="1" ht="45" customHeight="1">
      <c r="A17" s="122" t="s">
        <v>105</v>
      </c>
      <c r="B17" s="126" t="e">
        <f>VLOOKUP(CONCATENATE("MIZPP",'Projekt a žadatel'!C$4,'Projekt a žadatel'!C$7,'Projekt a žadatel'!C$3),DB_rozpočtů!A$3:GA$80,73,FALSE)</f>
        <v>#N/A</v>
      </c>
      <c r="C17" s="159" t="e">
        <f>VLOOKUP(CONCATENATE("MIZPP",'Projekt a žadatel'!C$4,'Projekt a žadatel'!C$7,'Projekt a žadatel'!C$3),DB_rozpočtů!A$3:GA$80,75,FALSE)</f>
        <v>#N/A</v>
      </c>
      <c r="D17" s="159" t="e">
        <f>VLOOKUP(CONCATENATE("MIZPP",'Projekt a žadatel'!C$4,'Projekt a žadatel'!C$7,'Projekt a žadatel'!C$3),DB_rozpočtů!A$3:GA$80,74,FALSE)</f>
        <v>#N/A</v>
      </c>
      <c r="E17" s="160"/>
      <c r="F17" s="161" t="e">
        <f>VLOOKUP(CONCATENATE("MIZPP",'Projekt a žadatel'!C$4,'Projekt a žadatel'!C$7,'Projekt a žadatel'!C$3),DB_rozpočtů!A$3:GA$80,76,FALSE)</f>
        <v>#N/A</v>
      </c>
      <c r="G17" s="185"/>
      <c r="V17" t="s">
        <v>500</v>
      </c>
      <c r="W17" s="163" t="s">
        <v>467</v>
      </c>
      <c r="X17" t="s">
        <v>98</v>
      </c>
    </row>
    <row r="18" spans="1:24" s="3" customFormat="1" ht="40.5" customHeight="1">
      <c r="A18" s="122" t="s">
        <v>106</v>
      </c>
      <c r="B18" s="126" t="e">
        <f>VLOOKUP(CONCATENATE("MIZPP",'Projekt a žadatel'!C$4,'Projekt a žadatel'!C$7,'Projekt a žadatel'!C$3),DB_rozpočtů!A$3:GA$80,77,FALSE)</f>
        <v>#N/A</v>
      </c>
      <c r="C18" s="159" t="e">
        <f>VLOOKUP(CONCATENATE("MIZPP",'Projekt a žadatel'!C$4,'Projekt a žadatel'!C$7,'Projekt a žadatel'!C$3),DB_rozpočtů!A$3:GA$80,79,FALSE)</f>
        <v>#N/A</v>
      </c>
      <c r="D18" s="159" t="e">
        <f>VLOOKUP(CONCATENATE("MIZPP",'Projekt a žadatel'!C$4,'Projekt a žadatel'!C$7,'Projekt a žadatel'!C$3),DB_rozpočtů!A$3:GA$80,78,FALSE)</f>
        <v>#N/A</v>
      </c>
      <c r="E18" s="160"/>
      <c r="F18" s="161" t="e">
        <f>VLOOKUP(CONCATENATE("MIZPP",'Projekt a žadatel'!C$4,'Projekt a žadatel'!C$7,'Projekt a žadatel'!C$3),DB_rozpočtů!A$3:GA$80,80,FALSE)</f>
        <v>#N/A</v>
      </c>
      <c r="G18" s="185"/>
      <c r="V18" t="s">
        <v>501</v>
      </c>
      <c r="W18" s="163" t="s">
        <v>468</v>
      </c>
      <c r="X18" t="s">
        <v>102</v>
      </c>
    </row>
    <row r="19" spans="1:24" s="3" customFormat="1" ht="30.75" customHeight="1">
      <c r="A19" s="122" t="s">
        <v>107</v>
      </c>
      <c r="B19" s="126" t="e">
        <f>VLOOKUP(CONCATENATE("MIZPP",'Projekt a žadatel'!C$4,'Projekt a žadatel'!C$7,'Projekt a žadatel'!C$3),DB_rozpočtů!A$3:GA$80,81,FALSE)</f>
        <v>#N/A</v>
      </c>
      <c r="C19" s="159" t="e">
        <f>VLOOKUP(CONCATENATE("MIZPP",'Projekt a žadatel'!C$4,'Projekt a žadatel'!C$7,'Projekt a žadatel'!C$3),DB_rozpočtů!A$3:GA$80,83,FALSE)</f>
        <v>#N/A</v>
      </c>
      <c r="D19" s="159" t="e">
        <f>VLOOKUP(CONCATENATE("MIZPP",'Projekt a žadatel'!C$4,'Projekt a žadatel'!C$7,'Projekt a žadatel'!C$3),DB_rozpočtů!A$3:GA$80,82,FALSE)</f>
        <v>#N/A</v>
      </c>
      <c r="E19" s="160"/>
      <c r="F19" s="161" t="e">
        <f>VLOOKUP(CONCATENATE("MIZPP",'Projekt a žadatel'!C$4,'Projekt a žadatel'!C$7,'Projekt a žadatel'!C$3),DB_rozpočtů!A$3:GA$80,84,FALSE)</f>
        <v>#N/A</v>
      </c>
      <c r="G19" s="185"/>
    </row>
    <row r="20" spans="1:24" s="3" customFormat="1">
      <c r="A20" s="122" t="s">
        <v>108</v>
      </c>
      <c r="B20" s="126" t="e">
        <f>VLOOKUP(CONCATENATE("MIZPP",'Projekt a žadatel'!C$4,'Projekt a žadatel'!C$7,'Projekt a žadatel'!C$3),DB_rozpočtů!A$3:GA$80,85,FALSE)</f>
        <v>#N/A</v>
      </c>
      <c r="C20" s="159" t="e">
        <f>VLOOKUP(CONCATENATE("MIZPP",'Projekt a žadatel'!C$4,'Projekt a žadatel'!C$7,'Projekt a žadatel'!C$3),DB_rozpočtů!A$3:GA$80,87,FALSE)</f>
        <v>#N/A</v>
      </c>
      <c r="D20" s="159" t="e">
        <f>VLOOKUP(CONCATENATE("MIZPP",'Projekt a žadatel'!C$4,'Projekt a žadatel'!C$7,'Projekt a žadatel'!C$3),DB_rozpočtů!A$3:GA$80,86,FALSE)</f>
        <v>#N/A</v>
      </c>
      <c r="E20" s="160"/>
      <c r="F20" s="161" t="e">
        <f>VLOOKUP(CONCATENATE("MIZPP",'Projekt a žadatel'!C$4,'Projekt a žadatel'!C$7,'Projekt a žadatel'!C$3),DB_rozpočtů!A$3:GA$80,88,FALSE)</f>
        <v>#N/A</v>
      </c>
      <c r="G20" s="185"/>
    </row>
    <row r="21" spans="1:24" s="3" customFormat="1">
      <c r="A21" s="122" t="s">
        <v>71</v>
      </c>
      <c r="B21" s="126" t="e">
        <f>VLOOKUP(CONCATENATE("MIZPP",'Projekt a žadatel'!C$4,'Projekt a žadatel'!C$7,'Projekt a žadatel'!C$3),DB_rozpočtů!A$3:GA$80,89,FALSE)</f>
        <v>#N/A</v>
      </c>
      <c r="C21" s="159" t="e">
        <f>VLOOKUP(CONCATENATE("MIZPP",'Projekt a žadatel'!C$4,'Projekt a žadatel'!C$7,'Projekt a žadatel'!C$3),DB_rozpočtů!A$3:GA$80,91,FALSE)</f>
        <v>#N/A</v>
      </c>
      <c r="D21" s="159" t="e">
        <f>VLOOKUP(CONCATENATE("MIZPP",'Projekt a žadatel'!C$4,'Projekt a žadatel'!C$7,'Projekt a žadatel'!C$3),DB_rozpočtů!A$3:GA$80,90,FALSE)</f>
        <v>#N/A</v>
      </c>
      <c r="E21" s="160"/>
      <c r="F21" s="161" t="e">
        <f>VLOOKUP(CONCATENATE("MIZPP",'Projekt a žadatel'!C$4,'Projekt a žadatel'!C$7,'Projekt a žadatel'!C$3),DB_rozpočtů!A$3:GA$80,92,FALSE)</f>
        <v>#N/A</v>
      </c>
      <c r="G21" s="185"/>
    </row>
    <row r="22" spans="1:24" s="3" customFormat="1" ht="43.5" customHeight="1">
      <c r="A22" s="122" t="s">
        <v>109</v>
      </c>
      <c r="B22" s="126" t="e">
        <f>VLOOKUP(CONCATENATE("MIZPP",'Projekt a žadatel'!C$4,'Projekt a žadatel'!C$7,'Projekt a žadatel'!C$3),DB_rozpočtů!A$3:GA$80,93,FALSE)</f>
        <v>#N/A</v>
      </c>
      <c r="C22" s="159" t="e">
        <f>VLOOKUP(CONCATENATE("MIZPP",'Projekt a žadatel'!C$4,'Projekt a žadatel'!C$7,'Projekt a žadatel'!C$3),DB_rozpočtů!A$3:GA$80,95,FALSE)</f>
        <v>#N/A</v>
      </c>
      <c r="D22" s="159" t="e">
        <f>VLOOKUP(CONCATENATE("MIZPP",'Projekt a žadatel'!C$4,'Projekt a žadatel'!C$7,'Projekt a žadatel'!C$3),DB_rozpočtů!A$3:GA$80,94,FALSE)</f>
        <v>#N/A</v>
      </c>
      <c r="E22" s="160"/>
      <c r="F22" s="161" t="e">
        <f>VLOOKUP(CONCATENATE("MIZPP",'Projekt a žadatel'!C$4,'Projekt a žadatel'!C$7,'Projekt a žadatel'!C$3),DB_rozpočtů!A$3:GA$80,96,FALSE)</f>
        <v>#N/A</v>
      </c>
      <c r="G22" s="185"/>
    </row>
    <row r="23" spans="1:24" s="3" customFormat="1" ht="38.25" customHeight="1">
      <c r="A23" s="122" t="s">
        <v>110</v>
      </c>
      <c r="B23" s="126" t="e">
        <f>VLOOKUP(CONCATENATE("MIZPP",'Projekt a žadatel'!C$4,'Projekt a žadatel'!C$7,'Projekt a žadatel'!C$3),DB_rozpočtů!A$3:GA$80,97,FALSE)</f>
        <v>#N/A</v>
      </c>
      <c r="C23" s="159" t="e">
        <f>VLOOKUP(CONCATENATE("MIZPP",'Projekt a žadatel'!C$4,'Projekt a žadatel'!C$7,'Projekt a žadatel'!C$3),DB_rozpočtů!A$3:GA$80,99,FALSE)</f>
        <v>#N/A</v>
      </c>
      <c r="D23" s="159" t="e">
        <f>VLOOKUP(CONCATENATE("MIZPP",'Projekt a žadatel'!C$4,'Projekt a žadatel'!C$7,'Projekt a žadatel'!C$3),DB_rozpočtů!A$3:GA$80,98,FALSE)</f>
        <v>#N/A</v>
      </c>
      <c r="E23" s="160"/>
      <c r="F23" s="161" t="e">
        <f>VLOOKUP(CONCATENATE("MIZPP",'Projekt a žadatel'!C$4,'Projekt a žadatel'!C$7,'Projekt a žadatel'!C$3),DB_rozpočtů!A$3:GA$80,100,FALSE)</f>
        <v>#N/A</v>
      </c>
      <c r="G23" s="185"/>
    </row>
    <row r="24" spans="1:24" s="3" customFormat="1">
      <c r="A24" s="122" t="s">
        <v>111</v>
      </c>
      <c r="B24" s="126" t="e">
        <f>VLOOKUP(CONCATENATE("MIZPP",'Projekt a žadatel'!C$4,'Projekt a žadatel'!C$7,'Projekt a žadatel'!C$3),DB_rozpočtů!A$3:GA$80,101,FALSE)</f>
        <v>#N/A</v>
      </c>
      <c r="C24" s="159" t="e">
        <f>VLOOKUP(CONCATENATE("MIZPP",'Projekt a žadatel'!C$4,'Projekt a žadatel'!C$7,'Projekt a žadatel'!C$3),DB_rozpočtů!A$3:GA$80,103,FALSE)</f>
        <v>#N/A</v>
      </c>
      <c r="D24" s="159" t="e">
        <f>VLOOKUP(CONCATENATE("MIZPP",'Projekt a žadatel'!C$4,'Projekt a žadatel'!C$7,'Projekt a žadatel'!C$3),DB_rozpočtů!A$3:GA$80,102,FALSE)</f>
        <v>#N/A</v>
      </c>
      <c r="E24" s="160"/>
      <c r="F24" s="161" t="e">
        <f>VLOOKUP(CONCATENATE("MIZPP",'Projekt a žadatel'!C$4,'Projekt a žadatel'!C$7,'Projekt a žadatel'!C$3),DB_rozpočtů!A$3:GA$80,104,FALSE)</f>
        <v>#N/A</v>
      </c>
      <c r="G24" s="185"/>
    </row>
    <row r="25" spans="1:24" s="3" customFormat="1">
      <c r="A25" s="122" t="s">
        <v>112</v>
      </c>
      <c r="B25" s="126" t="e">
        <f>VLOOKUP(CONCATENATE("MIZPP",'Projekt a žadatel'!C$4,'Projekt a žadatel'!C$7,'Projekt a žadatel'!C$3),DB_rozpočtů!A$3:GA$80,105,FALSE)</f>
        <v>#N/A</v>
      </c>
      <c r="C25" s="159" t="e">
        <f>VLOOKUP(CONCATENATE("MIZPP",'Projekt a žadatel'!C$4,'Projekt a žadatel'!C$7,'Projekt a žadatel'!C$3),DB_rozpočtů!A$3:GA$80,107,FALSE)</f>
        <v>#N/A</v>
      </c>
      <c r="D25" s="159" t="e">
        <f>VLOOKUP(CONCATENATE("MIZPP",'Projekt a žadatel'!C$4,'Projekt a žadatel'!C$7,'Projekt a žadatel'!C$3),DB_rozpočtů!A$3:GA$80,106,FALSE)</f>
        <v>#N/A</v>
      </c>
      <c r="E25" s="160"/>
      <c r="F25" s="161" t="e">
        <f>VLOOKUP(CONCATENATE("MIZPP",'Projekt a žadatel'!C$4,'Projekt a žadatel'!C$7,'Projekt a žadatel'!C$3),DB_rozpočtů!A$3:GA$80,108,FALSE)</f>
        <v>#N/A</v>
      </c>
      <c r="G25" s="185"/>
    </row>
    <row r="26" spans="1:24" s="3" customFormat="1" ht="25.5" customHeight="1">
      <c r="A26" s="122" t="s">
        <v>113</v>
      </c>
      <c r="B26" s="126" t="e">
        <f>VLOOKUP(CONCATENATE("MIZPP",'Projekt a žadatel'!C$4,'Projekt a žadatel'!C$7,'Projekt a žadatel'!C$3),DB_rozpočtů!A$3:GA$80,109,FALSE)</f>
        <v>#N/A</v>
      </c>
      <c r="C26" s="159" t="e">
        <f>VLOOKUP(CONCATENATE("MIZPP",'Projekt a žadatel'!C$4,'Projekt a žadatel'!C$7,'Projekt a žadatel'!C$3),DB_rozpočtů!A$3:GA$80,111,FALSE)</f>
        <v>#N/A</v>
      </c>
      <c r="D26" s="159" t="e">
        <f>VLOOKUP(CONCATENATE("MIZPP",'Projekt a žadatel'!C$4,'Projekt a žadatel'!C$7,'Projekt a žadatel'!C$3),DB_rozpočtů!A$3:GA$80,110,FALSE)</f>
        <v>#N/A</v>
      </c>
      <c r="E26" s="160"/>
      <c r="F26" s="161" t="e">
        <f>VLOOKUP(CONCATENATE("MIZPP",'Projekt a žadatel'!C$4,'Projekt a žadatel'!C$7,'Projekt a žadatel'!C$3),DB_rozpočtů!A$3:GA$80,112,FALSE)</f>
        <v>#N/A</v>
      </c>
      <c r="G26" s="185"/>
    </row>
    <row r="27" spans="1:24" s="3" customFormat="1">
      <c r="A27" s="122" t="s">
        <v>94</v>
      </c>
      <c r="B27" s="126" t="e">
        <f>VLOOKUP(CONCATENATE("MIZPP",'Projekt a žadatel'!C$4,'Projekt a žadatel'!C$7,'Projekt a žadatel'!C$3),DB_rozpočtů!A$3:GA$80,113,FALSE)</f>
        <v>#N/A</v>
      </c>
      <c r="C27" s="159" t="e">
        <f>VLOOKUP(CONCATENATE("MIZPP",'Projekt a žadatel'!C$4,'Projekt a žadatel'!C$7,'Projekt a žadatel'!C$3),DB_rozpočtů!A$3:GA$80,115,FALSE)</f>
        <v>#N/A</v>
      </c>
      <c r="D27" s="159" t="e">
        <f>VLOOKUP(CONCATENATE("MIZPP",'Projekt a žadatel'!C$4,'Projekt a žadatel'!C$7,'Projekt a žadatel'!C$3),DB_rozpočtů!A$3:GA$80,114,FALSE)</f>
        <v>#N/A</v>
      </c>
      <c r="E27" s="160"/>
      <c r="F27" s="161" t="e">
        <f>VLOOKUP(CONCATENATE("MIZPP",'Projekt a žadatel'!C$4,'Projekt a žadatel'!C$7,'Projekt a žadatel'!C$3),DB_rozpočtů!A$3:GA$80,116,FALSE)</f>
        <v>#N/A</v>
      </c>
      <c r="G27" s="185"/>
    </row>
    <row r="28" spans="1:24" s="3" customFormat="1">
      <c r="A28" s="122" t="s">
        <v>95</v>
      </c>
      <c r="B28" s="126" t="e">
        <f>VLOOKUP(CONCATENATE("MIZPP",'Projekt a žadatel'!C$4,'Projekt a žadatel'!C$7,'Projekt a žadatel'!C$3),DB_rozpočtů!A$3:GA$80,117,FALSE)</f>
        <v>#N/A</v>
      </c>
      <c r="C28" s="159" t="e">
        <f>VLOOKUP(CONCATENATE("MIZPP",'Projekt a žadatel'!C$4,'Projekt a žadatel'!C$7,'Projekt a žadatel'!C$3),DB_rozpočtů!A$3:GA$80,119,FALSE)</f>
        <v>#N/A</v>
      </c>
      <c r="D28" s="159" t="e">
        <f>VLOOKUP(CONCATENATE("MIZPP",'Projekt a žadatel'!C$4,'Projekt a žadatel'!C$7,'Projekt a žadatel'!C$3),DB_rozpočtů!A$3:GA$80,118,FALSE)</f>
        <v>#N/A</v>
      </c>
      <c r="E28" s="160"/>
      <c r="F28" s="161" t="e">
        <f>VLOOKUP(CONCATENATE("MIZPP",'Projekt a žadatel'!C$4,'Projekt a žadatel'!C$7,'Projekt a žadatel'!C$3),DB_rozpočtů!A$3:GA$80,120,FALSE)</f>
        <v>#N/A</v>
      </c>
      <c r="G28" s="185"/>
    </row>
    <row r="29" spans="1:24" s="3" customFormat="1">
      <c r="A29" s="122" t="s">
        <v>197</v>
      </c>
      <c r="B29" s="126" t="e">
        <f>VLOOKUP(CONCATENATE("MIZPP",'Projekt a žadatel'!C$4,'Projekt a žadatel'!C$7,'Projekt a žadatel'!C$3),DB_rozpočtů!A$3:GA$80,121,FALSE)</f>
        <v>#N/A</v>
      </c>
      <c r="C29" s="159" t="e">
        <f>VLOOKUP(CONCATENATE("MIZPP",'Projekt a žadatel'!C$4,'Projekt a žadatel'!C$7,'Projekt a žadatel'!C$3),DB_rozpočtů!A$3:GA$80,123,FALSE)</f>
        <v>#N/A</v>
      </c>
      <c r="D29" s="159" t="e">
        <f>VLOOKUP(CONCATENATE("MIZPP",'Projekt a žadatel'!C$4,'Projekt a žadatel'!C$7,'Projekt a žadatel'!C$3),DB_rozpočtů!A$3:GA$80,122,FALSE)</f>
        <v>#N/A</v>
      </c>
      <c r="E29" s="160"/>
      <c r="F29" s="161" t="e">
        <f>VLOOKUP(CONCATENATE("MIZPP",'Projekt a žadatel'!C$4,'Projekt a žadatel'!C$7,'Projekt a žadatel'!C$3),DB_rozpočtů!A$3:GA$80,124,FALSE)</f>
        <v>#N/A</v>
      </c>
      <c r="G29" s="185"/>
    </row>
    <row r="30" spans="1:24" s="3" customFormat="1">
      <c r="A30" s="122" t="s">
        <v>198</v>
      </c>
      <c r="B30" s="126" t="e">
        <f>VLOOKUP(CONCATENATE("MIZPP",'Projekt a žadatel'!C$4,'Projekt a žadatel'!C$7,'Projekt a žadatel'!C$3),DB_rozpočtů!A$3:GA$80,125,FALSE)</f>
        <v>#N/A</v>
      </c>
      <c r="C30" s="159" t="e">
        <f>VLOOKUP(CONCATENATE("MIZPP",'Projekt a žadatel'!C$4,'Projekt a žadatel'!C$7,'Projekt a žadatel'!C$3),DB_rozpočtů!A$3:GA$80,127,FALSE)</f>
        <v>#N/A</v>
      </c>
      <c r="D30" s="159" t="e">
        <f>VLOOKUP(CONCATENATE("MIZPP",'Projekt a žadatel'!C$4,'Projekt a žadatel'!C$7,'Projekt a žadatel'!C$3),DB_rozpočtů!A$3:GA$80,126,FALSE)</f>
        <v>#N/A</v>
      </c>
      <c r="E30" s="160"/>
      <c r="F30" s="161" t="e">
        <f>VLOOKUP(CONCATENATE("MIZPP",'Projekt a žadatel'!C$4,'Projekt a žadatel'!C$7,'Projekt a žadatel'!C$3),DB_rozpočtů!A$3:GA$80,128,FALSE)</f>
        <v>#N/A</v>
      </c>
      <c r="G30" s="185"/>
    </row>
    <row r="31" spans="1:24" s="3" customFormat="1">
      <c r="A31" s="122" t="s">
        <v>474</v>
      </c>
      <c r="B31" s="126" t="e">
        <f>VLOOKUP(CONCATENATE("MIZPP",'Projekt a žadatel'!C$4,'Projekt a žadatel'!C$7,'Projekt a žadatel'!C$3),DB_rozpočtů!A$3:GA$80,129,FALSE)</f>
        <v>#N/A</v>
      </c>
      <c r="C31" s="159" t="e">
        <f>VLOOKUP(CONCATENATE("MIZPP",'Projekt a žadatel'!C$4,'Projekt a žadatel'!C$7,'Projekt a žadatel'!C$3),DB_rozpočtů!A$3:GA$80,131,FALSE)</f>
        <v>#N/A</v>
      </c>
      <c r="D31" s="159" t="e">
        <f>VLOOKUP(CONCATENATE("MIZPP",'Projekt a žadatel'!C$4,'Projekt a žadatel'!C$7,'Projekt a žadatel'!C$3),DB_rozpočtů!A$3:GA$80,130,FALSE)</f>
        <v>#N/A</v>
      </c>
      <c r="E31" s="160"/>
      <c r="F31" s="161" t="e">
        <f>VLOOKUP(CONCATENATE("MIZPP",'Projekt a žadatel'!C$4,'Projekt a žadatel'!C$7,'Projekt a žadatel'!C$3),DB_rozpočtů!A$3:GA$80,132,FALSE)</f>
        <v>#N/A</v>
      </c>
      <c r="G31" s="185"/>
    </row>
    <row r="32" spans="1:24" s="3" customFormat="1" ht="16.5" customHeight="1">
      <c r="A32" s="122" t="s">
        <v>475</v>
      </c>
      <c r="B32" s="126" t="e">
        <f>VLOOKUP(CONCATENATE("MIZPP",'Projekt a žadatel'!C$4,'Projekt a žadatel'!C$7,'Projekt a žadatel'!C$3),DB_rozpočtů!A$3:GA$80,133,FALSE)</f>
        <v>#N/A</v>
      </c>
      <c r="C32" s="159" t="e">
        <f>VLOOKUP(CONCATENATE("MIZPP",'Projekt a žadatel'!C$4,'Projekt a žadatel'!C$7,'Projekt a žadatel'!C$3),DB_rozpočtů!A$3:GA$80,135,FALSE)</f>
        <v>#N/A</v>
      </c>
      <c r="D32" s="159" t="e">
        <f>VLOOKUP(CONCATENATE("MIZPP",'Projekt a žadatel'!C$4,'Projekt a žadatel'!C$7,'Projekt a žadatel'!C$3),DB_rozpočtů!A$3:GA$80,134,FALSE)</f>
        <v>#N/A</v>
      </c>
      <c r="E32" s="160"/>
      <c r="F32" s="161" t="e">
        <f>VLOOKUP(CONCATENATE("MIZPP",'Projekt a žadatel'!C$4,'Projekt a žadatel'!C$7,'Projekt a žadatel'!C$3),DB_rozpočtů!A$3:GA$80,136,FALSE)</f>
        <v>#N/A</v>
      </c>
      <c r="G32" s="185"/>
    </row>
    <row r="33" spans="1:7" s="3" customFormat="1" ht="16.5" customHeight="1">
      <c r="A33" s="122" t="s">
        <v>476</v>
      </c>
      <c r="B33" s="126" t="e">
        <f>VLOOKUP(CONCATENATE("MIZPP",'Projekt a žadatel'!C$4,'Projekt a žadatel'!C$7,'Projekt a žadatel'!C$3),DB_rozpočtů!A$3:GA$80,137,FALSE)</f>
        <v>#N/A</v>
      </c>
      <c r="C33" s="159" t="e">
        <f>VLOOKUP(CONCATENATE("MIZPP",'Projekt a žadatel'!C$4,'Projekt a žadatel'!C$7,'Projekt a žadatel'!C$3),DB_rozpočtů!A$3:GA$80,139,FALSE)</f>
        <v>#N/A</v>
      </c>
      <c r="D33" s="159" t="e">
        <f>VLOOKUP(CONCATENATE("MIZPP",'Projekt a žadatel'!C$4,'Projekt a žadatel'!C$7,'Projekt a žadatel'!C$3),DB_rozpočtů!A$3:GA$80,138,FALSE)</f>
        <v>#N/A</v>
      </c>
      <c r="E33" s="160"/>
      <c r="F33" s="161" t="e">
        <f>VLOOKUP(CONCATENATE("MIZPP",'Projekt a žadatel'!C$4,'Projekt a žadatel'!C$7,'Projekt a žadatel'!C$3),DB_rozpočtů!A$3:GA$80,140,FALSE)</f>
        <v>#N/A</v>
      </c>
      <c r="G33" s="185"/>
    </row>
    <row r="34" spans="1:7" ht="17.25" customHeight="1">
      <c r="A34" s="122" t="s">
        <v>477</v>
      </c>
      <c r="B34" s="126" t="e">
        <f>VLOOKUP(CONCATENATE("MIZPP",'Projekt a žadatel'!C$4,'Projekt a žadatel'!C$7,'Projekt a žadatel'!C$3),DB_rozpočtů!A$3:GA$80,141,FALSE)</f>
        <v>#N/A</v>
      </c>
      <c r="C34" s="159" t="e">
        <f>VLOOKUP(CONCATENATE("MIZPP",'Projekt a žadatel'!C$4,'Projekt a žadatel'!C$7,'Projekt a žadatel'!C$3),DB_rozpočtů!A$3:GA$80,143,FALSE)</f>
        <v>#N/A</v>
      </c>
      <c r="D34" s="159" t="e">
        <f>VLOOKUP(CONCATENATE("MIZPP",'Projekt a žadatel'!C$4,'Projekt a žadatel'!C$7,'Projekt a žadatel'!C$3),DB_rozpočtů!A$3:GA$80,142,FALSE)</f>
        <v>#N/A</v>
      </c>
      <c r="E34" s="160"/>
      <c r="F34" s="161" t="e">
        <f>VLOOKUP(CONCATENATE("MIZPP",'Projekt a žadatel'!C$4,'Projekt a žadatel'!C$7,'Projekt a žadatel'!C$3),DB_rozpočtů!A$3:GA$80,144,FALSE)</f>
        <v>#N/A</v>
      </c>
      <c r="G34" s="185"/>
    </row>
    <row r="35" spans="1:7" ht="16.5" customHeight="1">
      <c r="A35" s="122" t="s">
        <v>115</v>
      </c>
      <c r="B35" s="172"/>
      <c r="C35" s="168" t="s">
        <v>505</v>
      </c>
      <c r="D35" s="169" t="str">
        <f>IF(ISNA(VLOOKUP(F35,V$1:X$18,3,FALSE)),"",VLOOKUP(F35,V$1:X$18,3,FALSE))</f>
        <v/>
      </c>
      <c r="E35" s="170"/>
      <c r="F35" s="171"/>
      <c r="G35" s="170"/>
    </row>
    <row r="36" spans="1:7" ht="16.5" customHeight="1">
      <c r="A36" s="122" t="s">
        <v>116</v>
      </c>
      <c r="B36" s="172"/>
      <c r="C36" s="168" t="s">
        <v>505</v>
      </c>
      <c r="D36" s="169" t="str">
        <f t="shared" ref="D36:D44" si="0">IF(ISNA(VLOOKUP(F36,V$1:X$18,3,FALSE)),"",VLOOKUP(F36,V$1:X$18,3,FALSE))</f>
        <v/>
      </c>
      <c r="E36" s="170"/>
      <c r="F36" s="171"/>
      <c r="G36" s="170"/>
    </row>
    <row r="37" spans="1:7" ht="16.5" customHeight="1">
      <c r="A37" s="122" t="s">
        <v>117</v>
      </c>
      <c r="B37" s="172"/>
      <c r="C37" s="168" t="s">
        <v>505</v>
      </c>
      <c r="D37" s="169" t="str">
        <f t="shared" si="0"/>
        <v/>
      </c>
      <c r="E37" s="170"/>
      <c r="F37" s="171"/>
      <c r="G37" s="170"/>
    </row>
    <row r="38" spans="1:7" ht="16.5" customHeight="1">
      <c r="A38" s="122" t="s">
        <v>118</v>
      </c>
      <c r="B38" s="172"/>
      <c r="C38" s="168" t="s">
        <v>505</v>
      </c>
      <c r="D38" s="169" t="str">
        <f t="shared" si="0"/>
        <v/>
      </c>
      <c r="E38" s="170"/>
      <c r="F38" s="171"/>
      <c r="G38" s="170"/>
    </row>
    <row r="39" spans="1:7" ht="16.5" customHeight="1">
      <c r="A39" s="122" t="s">
        <v>119</v>
      </c>
      <c r="B39" s="172"/>
      <c r="C39" s="168" t="s">
        <v>505</v>
      </c>
      <c r="D39" s="169" t="str">
        <f t="shared" si="0"/>
        <v/>
      </c>
      <c r="E39" s="170"/>
      <c r="F39" s="171"/>
      <c r="G39" s="170"/>
    </row>
    <row r="40" spans="1:7" ht="16.5" customHeight="1">
      <c r="A40" s="122" t="s">
        <v>120</v>
      </c>
      <c r="B40" s="172"/>
      <c r="C40" s="168" t="s">
        <v>505</v>
      </c>
      <c r="D40" s="169" t="str">
        <f t="shared" si="0"/>
        <v/>
      </c>
      <c r="E40" s="170"/>
      <c r="F40" s="171"/>
      <c r="G40" s="170"/>
    </row>
    <row r="41" spans="1:7" ht="16.5" customHeight="1">
      <c r="A41" s="122" t="s">
        <v>121</v>
      </c>
      <c r="B41" s="172"/>
      <c r="C41" s="168" t="s">
        <v>505</v>
      </c>
      <c r="D41" s="169" t="str">
        <f t="shared" si="0"/>
        <v/>
      </c>
      <c r="E41" s="170"/>
      <c r="F41" s="171"/>
      <c r="G41" s="170"/>
    </row>
    <row r="42" spans="1:7" ht="16.5" customHeight="1">
      <c r="A42" s="122" t="s">
        <v>122</v>
      </c>
      <c r="B42" s="172"/>
      <c r="C42" s="168" t="s">
        <v>505</v>
      </c>
      <c r="D42" s="169" t="str">
        <f t="shared" si="0"/>
        <v/>
      </c>
      <c r="E42" s="170"/>
      <c r="F42" s="171"/>
      <c r="G42" s="170"/>
    </row>
    <row r="43" spans="1:7" ht="16.5" customHeight="1">
      <c r="A43" s="122" t="s">
        <v>123</v>
      </c>
      <c r="B43" s="172"/>
      <c r="C43" s="168" t="s">
        <v>505</v>
      </c>
      <c r="D43" s="169" t="str">
        <f t="shared" si="0"/>
        <v/>
      </c>
      <c r="E43" s="170"/>
      <c r="F43" s="171"/>
      <c r="G43" s="170"/>
    </row>
    <row r="44" spans="1:7" ht="16.5" customHeight="1">
      <c r="A44" s="122" t="s">
        <v>124</v>
      </c>
      <c r="B44" s="172"/>
      <c r="C44" s="168" t="s">
        <v>505</v>
      </c>
      <c r="D44" s="169" t="str">
        <f t="shared" si="0"/>
        <v/>
      </c>
      <c r="E44" s="170"/>
      <c r="F44" s="171"/>
      <c r="G44" s="170"/>
    </row>
    <row r="45" spans="1:7" ht="16.5" customHeight="1">
      <c r="A45" s="122" t="s">
        <v>199</v>
      </c>
      <c r="B45" s="172"/>
      <c r="C45" s="168" t="s">
        <v>505</v>
      </c>
      <c r="D45" s="169" t="str">
        <f t="shared" ref="D45:D49" si="1">IF(ISNA(VLOOKUP(F45,V$1:X$18,3,FALSE)),"",VLOOKUP(F45,V$1:X$18,3,FALSE))</f>
        <v/>
      </c>
      <c r="E45" s="170"/>
      <c r="F45" s="171"/>
      <c r="G45" s="170"/>
    </row>
    <row r="46" spans="1:7" ht="16.5" customHeight="1">
      <c r="A46" s="122" t="s">
        <v>200</v>
      </c>
      <c r="B46" s="172"/>
      <c r="C46" s="168" t="s">
        <v>505</v>
      </c>
      <c r="D46" s="169" t="str">
        <f t="shared" si="1"/>
        <v/>
      </c>
      <c r="E46" s="170"/>
      <c r="F46" s="171"/>
      <c r="G46" s="170"/>
    </row>
    <row r="47" spans="1:7" ht="16.5" customHeight="1">
      <c r="A47" s="122" t="s">
        <v>201</v>
      </c>
      <c r="B47" s="172"/>
      <c r="C47" s="168" t="s">
        <v>505</v>
      </c>
      <c r="D47" s="169" t="str">
        <f t="shared" si="1"/>
        <v/>
      </c>
      <c r="E47" s="170"/>
      <c r="F47" s="171"/>
      <c r="G47" s="170"/>
    </row>
    <row r="48" spans="1:7" ht="16.5" customHeight="1">
      <c r="A48" s="122" t="s">
        <v>202</v>
      </c>
      <c r="B48" s="172"/>
      <c r="C48" s="168" t="s">
        <v>505</v>
      </c>
      <c r="D48" s="169" t="str">
        <f t="shared" si="1"/>
        <v/>
      </c>
      <c r="E48" s="170"/>
      <c r="F48" s="171"/>
      <c r="G48" s="170"/>
    </row>
    <row r="49" spans="1:7" ht="16.5" customHeight="1">
      <c r="A49" s="122" t="s">
        <v>203</v>
      </c>
      <c r="B49" s="172"/>
      <c r="C49" s="168" t="s">
        <v>505</v>
      </c>
      <c r="D49" s="169" t="str">
        <f t="shared" si="1"/>
        <v/>
      </c>
      <c r="E49" s="170"/>
      <c r="F49" s="171"/>
      <c r="G49" s="170"/>
    </row>
    <row r="50" spans="1:7" ht="15.75">
      <c r="B50" s="27"/>
      <c r="C50" s="25"/>
      <c r="D50" s="26"/>
    </row>
    <row r="51" spans="1:7" ht="15.75">
      <c r="B51" s="27"/>
      <c r="C51" s="25"/>
      <c r="D51" s="26"/>
    </row>
    <row r="52" spans="1:7">
      <c r="B52" s="129" t="s">
        <v>478</v>
      </c>
      <c r="C52" s="25"/>
      <c r="D52" s="26"/>
    </row>
    <row r="53" spans="1:7" ht="15.75" customHeight="1">
      <c r="B53" s="257"/>
      <c r="C53" s="257"/>
      <c r="D53" s="257"/>
      <c r="E53" s="257"/>
      <c r="F53" s="257"/>
    </row>
    <row r="54" spans="1:7" ht="15.75" customHeight="1">
      <c r="B54" s="257"/>
      <c r="C54" s="257"/>
      <c r="D54" s="257"/>
      <c r="E54" s="257"/>
      <c r="F54" s="257"/>
    </row>
    <row r="55" spans="1:7" ht="15.75" customHeight="1">
      <c r="B55" s="257"/>
      <c r="C55" s="257"/>
      <c r="D55" s="257"/>
      <c r="E55" s="257"/>
      <c r="F55" s="257"/>
    </row>
    <row r="56" spans="1:7" ht="15.75" customHeight="1">
      <c r="B56" s="257"/>
      <c r="C56" s="257"/>
      <c r="D56" s="257"/>
      <c r="E56" s="257"/>
      <c r="F56" s="257"/>
    </row>
    <row r="57" spans="1:7" ht="15.75" customHeight="1">
      <c r="B57" s="257"/>
      <c r="C57" s="257"/>
      <c r="D57" s="257"/>
      <c r="E57" s="257"/>
      <c r="F57" s="257"/>
    </row>
    <row r="58" spans="1:7" ht="15.75" customHeight="1">
      <c r="B58" s="257"/>
      <c r="C58" s="257"/>
      <c r="D58" s="257"/>
      <c r="E58" s="257"/>
      <c r="F58" s="257"/>
    </row>
    <row r="59" spans="1:7" ht="15.75" customHeight="1">
      <c r="B59" s="257"/>
      <c r="C59" s="257"/>
      <c r="D59" s="257"/>
      <c r="E59" s="257"/>
      <c r="F59" s="257"/>
    </row>
    <row r="60" spans="1:7" ht="15.75" customHeight="1">
      <c r="B60" s="257"/>
      <c r="C60" s="257"/>
      <c r="D60" s="257"/>
      <c r="E60" s="257"/>
      <c r="F60" s="257"/>
    </row>
    <row r="61" spans="1:7" ht="15.75" customHeight="1">
      <c r="B61" s="257"/>
      <c r="C61" s="257"/>
      <c r="D61" s="257"/>
      <c r="E61" s="257"/>
      <c r="F61" s="257"/>
    </row>
    <row r="62" spans="1:7" ht="15.75" customHeight="1">
      <c r="B62" s="257"/>
      <c r="C62" s="257"/>
      <c r="D62" s="257"/>
      <c r="E62" s="257"/>
      <c r="F62" s="257"/>
    </row>
    <row r="63" spans="1:7" ht="15.75" customHeight="1">
      <c r="B63" s="257"/>
      <c r="C63" s="257"/>
      <c r="D63" s="257"/>
      <c r="E63" s="257"/>
      <c r="F63" s="257"/>
    </row>
    <row r="64" spans="1:7" ht="15.75" customHeight="1">
      <c r="B64" s="257"/>
      <c r="C64" s="257"/>
      <c r="D64" s="257"/>
      <c r="E64" s="257"/>
      <c r="F64" s="257"/>
    </row>
    <row r="65" spans="1:4" ht="15.75">
      <c r="B65" s="27"/>
      <c r="C65" s="25"/>
      <c r="D65" s="26"/>
    </row>
    <row r="66" spans="1:4" ht="15.75" hidden="1">
      <c r="A66" s="32" t="s">
        <v>125</v>
      </c>
      <c r="B66" s="46"/>
      <c r="C66" s="45" t="s">
        <v>126</v>
      </c>
      <c r="D66" s="56"/>
    </row>
    <row r="67" spans="1:4">
      <c r="A67" s="24"/>
      <c r="B67" s="28"/>
      <c r="C67" s="25"/>
      <c r="D67" s="29"/>
    </row>
    <row r="68" spans="1:4">
      <c r="C68" s="84" t="e">
        <f>VLOOKUP(CONCATENATE("MIZPP",'Projekt a žadatel'!C4,'Projekt a žadatel'!C7,'Projekt a žadatel'!C3),DB_rozpočtů!A$3:CS$80,17,FALSE)</f>
        <v>#N/A</v>
      </c>
    </row>
    <row r="93" spans="11:19">
      <c r="K93" s="253" t="s">
        <v>210</v>
      </c>
      <c r="L93" s="253"/>
      <c r="M93" s="253"/>
      <c r="N93" s="253"/>
      <c r="O93" s="253"/>
      <c r="P93" s="253"/>
      <c r="Q93" s="253"/>
      <c r="R93" s="253"/>
      <c r="S93" s="253"/>
    </row>
    <row r="94" spans="11:19">
      <c r="K94" s="253"/>
      <c r="L94" s="253"/>
      <c r="M94" s="253"/>
      <c r="N94" s="253"/>
      <c r="O94" s="253"/>
      <c r="P94" s="253"/>
      <c r="Q94" s="253"/>
      <c r="R94" s="253"/>
      <c r="S94" s="253"/>
    </row>
    <row r="95" spans="11:19">
      <c r="K95" s="253"/>
      <c r="L95" s="253"/>
      <c r="M95" s="253"/>
      <c r="N95" s="253"/>
      <c r="O95" s="253"/>
      <c r="P95" s="253"/>
      <c r="Q95" s="253"/>
      <c r="R95" s="253"/>
      <c r="S95" s="253"/>
    </row>
    <row r="96" spans="11:19">
      <c r="K96" s="254" t="s">
        <v>146</v>
      </c>
      <c r="L96" s="254"/>
      <c r="M96" s="254"/>
      <c r="N96" s="254"/>
      <c r="O96" s="254"/>
      <c r="P96" s="254"/>
      <c r="Q96" s="254"/>
      <c r="R96" s="254"/>
      <c r="S96" s="254"/>
    </row>
    <row r="97" spans="11:19">
      <c r="K97" s="254"/>
      <c r="L97" s="254"/>
      <c r="M97" s="254"/>
      <c r="N97" s="254"/>
      <c r="O97" s="254"/>
      <c r="P97" s="254"/>
      <c r="Q97" s="254"/>
      <c r="R97" s="254"/>
      <c r="S97" s="254"/>
    </row>
    <row r="98" spans="11:19">
      <c r="K98" s="254"/>
      <c r="L98" s="254"/>
      <c r="M98" s="254"/>
      <c r="N98" s="254"/>
      <c r="O98" s="254"/>
      <c r="P98" s="254"/>
      <c r="Q98" s="254"/>
      <c r="R98" s="254"/>
      <c r="S98" s="254"/>
    </row>
  </sheetData>
  <sheetProtection algorithmName="SHA-512" hashValue="+hdXLHtXkhUeCpbQ1w3Yspb3x8+jfjriwRSGBcbOjbsS0mbctJJ8CuazeESubKZRma5ANfnLLxFGq4mMmEUXSA==" saltValue="FaqlDRaNb+/4aQVB3HDJ2Q==" spinCount="100000" sheet="1" formatCells="0" formatColumns="0" formatRows="0" selectLockedCells="1"/>
  <mergeCells count="19">
    <mergeCell ref="AJ8:AK8"/>
    <mergeCell ref="AJ1:AK1"/>
    <mergeCell ref="AJ4:AK4"/>
    <mergeCell ref="AJ5:AK5"/>
    <mergeCell ref="AJ6:AK6"/>
    <mergeCell ref="AJ7:AK7"/>
    <mergeCell ref="C3:D3"/>
    <mergeCell ref="C4:D4"/>
    <mergeCell ref="B9:D9"/>
    <mergeCell ref="B53:F64"/>
    <mergeCell ref="D7:F7"/>
    <mergeCell ref="A6:G6"/>
    <mergeCell ref="E1:G4"/>
    <mergeCell ref="H1:U1"/>
    <mergeCell ref="K3:S3"/>
    <mergeCell ref="K4:S4"/>
    <mergeCell ref="K5:S7"/>
    <mergeCell ref="K96:S98"/>
    <mergeCell ref="K93:S95"/>
  </mergeCells>
  <conditionalFormatting sqref="A35:A49">
    <cfRule type="expression" dxfId="12" priority="8" stopIfTrue="1">
      <formula>$E$10="NE"</formula>
    </cfRule>
  </conditionalFormatting>
  <conditionalFormatting sqref="A17:B34">
    <cfRule type="expression" dxfId="11" priority="70" stopIfTrue="1">
      <formula>$E$10="NE"</formula>
    </cfRule>
  </conditionalFormatting>
  <conditionalFormatting sqref="A7:D15 F10 A16:B16 A50:D52 A53:B53 A54:A64 A65:D68">
    <cfRule type="expression" dxfId="10" priority="183" stopIfTrue="1">
      <formula>$E$10="NE"</formula>
    </cfRule>
  </conditionalFormatting>
  <conditionalFormatting sqref="A11:D11">
    <cfRule type="expression" dxfId="9" priority="176">
      <formula>$B11=""</formula>
    </cfRule>
  </conditionalFormatting>
  <conditionalFormatting sqref="C16:E34">
    <cfRule type="expression" dxfId="8" priority="66" stopIfTrue="1">
      <formula>$E$10="NE"</formula>
    </cfRule>
  </conditionalFormatting>
  <conditionalFormatting sqref="D35:F49">
    <cfRule type="expression" dxfId="7" priority="5" stopIfTrue="1">
      <formula>$E$10="NE"</formula>
    </cfRule>
  </conditionalFormatting>
  <conditionalFormatting sqref="E11">
    <cfRule type="expression" dxfId="5" priority="157">
      <formula>$B11=""</formula>
    </cfRule>
    <cfRule type="expression" dxfId="4" priority="158" stopIfTrue="1">
      <formula>$E$10="NE"</formula>
    </cfRule>
  </conditionalFormatting>
  <conditionalFormatting sqref="F16">
    <cfRule type="expression" dxfId="3" priority="65" stopIfTrue="1">
      <formula>$E$10="NE"</formula>
    </cfRule>
  </conditionalFormatting>
  <conditionalFormatting sqref="G17">
    <cfRule type="expression" dxfId="2" priority="2">
      <formula>"g17&lt;&gt;"""""</formula>
    </cfRule>
  </conditionalFormatting>
  <conditionalFormatting sqref="G23">
    <cfRule type="expression" dxfId="1" priority="1">
      <formula>$B$23="--"</formula>
    </cfRule>
  </conditionalFormatting>
  <dataValidations count="3">
    <dataValidation type="decimal" allowBlank="1" showInputMessage="1" showErrorMessage="1" errorTitle="Hodnota indikátoru" error="Povolenou hodnotou indikátoru je pouze číslo. " sqref="E17:E49" xr:uid="{00000000-0002-0000-0300-000000000000}">
      <formula1>0</formula1>
      <formula2>9999999999999</formula2>
    </dataValidation>
    <dataValidation allowBlank="1" showInputMessage="1" showErrorMessage="1" errorTitle="Hodnota indikátoru" error="Povolenou hodnotou indikátoru je pouze číslo. " sqref="D17:D34" xr:uid="{00000000-0002-0000-0300-000001000000}"/>
    <dataValidation type="list" allowBlank="1" showInputMessage="1" showErrorMessage="1" sqref="F35:F49" xr:uid="{00000000-0002-0000-0300-000002000000}">
      <formula1>$V$1:$V$18</formula1>
    </dataValidation>
  </dataValidations>
  <pageMargins left="0.4" right="0.70866141732283472" top="0.78740157480314965" bottom="0.78740157480314965" header="0.31496062992125984" footer="0.31496062992125984"/>
  <pageSetup paperSize="9" scale="60" fitToHeight="0" orientation="portrait" verticalDpi="0" r:id="rId1"/>
  <headerFooter>
    <oddFooter>&amp;LŽádost o změnu závazných výstupů projektu&amp;R&amp;P/&amp;N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4" id="{715CAE38-CE14-4787-A6FE-9ACF67C32E3C}">
            <xm:f>'Projekt a žadatel'!$D$25="NE"</xm:f>
            <x14:dxf>
              <font>
                <color theme="0"/>
              </font>
            </x14:dxf>
          </x14:cfRule>
          <xm:sqref>E1 G5 G7:G14</xm:sqref>
        </x14:conditionalFormatting>
        <x14:conditionalFormatting xmlns:xm="http://schemas.microsoft.com/office/excel/2006/main">
          <x14:cfRule type="expression" priority="165" id="{50AA60BF-626A-43D0-91B3-AA3165DC915E}">
            <xm:f>'Projekt a žadatel'!$D$25="NE"</xm:f>
            <x14:dxf>
              <font>
                <color theme="0"/>
              </font>
            </x14:dxf>
          </x14:cfRule>
          <xm:sqref>H1:U9 H10:J11 T10:U11 K93:S98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EP64"/>
  <sheetViews>
    <sheetView showGridLines="0" showRowColHeaders="0" topLeftCell="AV1" workbookViewId="0">
      <pane ySplit="2" topLeftCell="A37" activePane="bottomLeft" state="frozen"/>
      <selection activeCell="B1" sqref="B1"/>
      <selection pane="bottomLeft" activeCell="BO62" sqref="A1:XFD1048576"/>
    </sheetView>
  </sheetViews>
  <sheetFormatPr defaultColWidth="9.33203125" defaultRowHeight="12.75"/>
  <cols>
    <col min="1" max="1" width="26.33203125" style="213" customWidth="1"/>
    <col min="2" max="3" width="10.1640625" style="213" bestFit="1" customWidth="1"/>
    <col min="4" max="4" width="17.83203125" style="213" customWidth="1"/>
    <col min="5" max="5" width="22" style="213" customWidth="1"/>
    <col min="6" max="6" width="10.1640625" style="213" bestFit="1" customWidth="1"/>
    <col min="7" max="7" width="32.6640625" style="213" customWidth="1"/>
    <col min="8" max="9" width="10.1640625" style="213" bestFit="1" customWidth="1"/>
    <col min="10" max="10" width="10.83203125" style="213" bestFit="1" customWidth="1"/>
    <col min="11" max="12" width="10.1640625" style="213" bestFit="1" customWidth="1"/>
    <col min="13" max="13" width="48.1640625" style="213" customWidth="1"/>
    <col min="14" max="15" width="10.1640625" style="213" bestFit="1" customWidth="1"/>
    <col min="16" max="16" width="11.83203125" style="213" bestFit="1" customWidth="1"/>
    <col min="17" max="17" width="10.1640625" style="213" bestFit="1" customWidth="1"/>
    <col min="18" max="18" width="10.5" style="213" bestFit="1" customWidth="1"/>
    <col min="19" max="20" width="10.1640625" style="213" bestFit="1" customWidth="1"/>
    <col min="21" max="21" width="11.5" style="213" bestFit="1" customWidth="1"/>
    <col min="22" max="25" width="10.1640625" style="213" bestFit="1" customWidth="1"/>
    <col min="26" max="27" width="13.5" style="213" bestFit="1" customWidth="1"/>
    <col min="28" max="28" width="15.5" style="213" bestFit="1" customWidth="1"/>
    <col min="29" max="29" width="13.83203125" style="213" bestFit="1" customWidth="1"/>
    <col min="30" max="30" width="12.33203125" style="213" bestFit="1" customWidth="1"/>
    <col min="31" max="31" width="14.33203125" style="213" bestFit="1" customWidth="1"/>
    <col min="32" max="32" width="13.5" style="213" bestFit="1" customWidth="1"/>
    <col min="33" max="33" width="15.5" style="213" bestFit="1" customWidth="1"/>
    <col min="34" max="34" width="15.33203125" style="213" customWidth="1"/>
    <col min="35" max="36" width="12.33203125" style="213" bestFit="1" customWidth="1"/>
    <col min="37" max="37" width="9.6640625" style="213" customWidth="1"/>
    <col min="38" max="39" width="13.5" style="213" bestFit="1" customWidth="1"/>
    <col min="40" max="40" width="12.33203125" style="213" bestFit="1" customWidth="1"/>
    <col min="41" max="42" width="12.1640625" style="213" customWidth="1"/>
    <col min="43" max="44" width="12.33203125" style="213" bestFit="1" customWidth="1"/>
    <col min="45" max="45" width="15.5" style="213" bestFit="1" customWidth="1"/>
    <col min="46" max="46" width="14.33203125" style="213" customWidth="1"/>
    <col min="47" max="50" width="10.1640625" style="213" bestFit="1" customWidth="1"/>
    <col min="51" max="52" width="21.5" style="213" bestFit="1" customWidth="1"/>
    <col min="53" max="53" width="10.1640625" style="213" bestFit="1" customWidth="1"/>
    <col min="54" max="54" width="10.33203125" style="213" bestFit="1" customWidth="1"/>
    <col min="55" max="55" width="10.1640625" style="213" bestFit="1" customWidth="1"/>
    <col min="56" max="56" width="10.33203125" style="213" bestFit="1" customWidth="1"/>
    <col min="57" max="57" width="10.1640625" style="213" bestFit="1" customWidth="1"/>
    <col min="58" max="58" width="10.33203125" style="213" bestFit="1" customWidth="1"/>
    <col min="59" max="59" width="10.1640625" style="213" bestFit="1" customWidth="1"/>
    <col min="60" max="60" width="10.33203125" style="213" bestFit="1" customWidth="1"/>
    <col min="61" max="61" width="10.1640625" style="213" bestFit="1" customWidth="1"/>
    <col min="62" max="62" width="10.33203125" style="213" bestFit="1" customWidth="1"/>
    <col min="63" max="66" width="10" style="213" customWidth="1"/>
    <col min="67" max="67" width="13.5" style="213" customWidth="1"/>
    <col min="68" max="68" width="13.1640625" style="213" customWidth="1"/>
    <col min="69" max="70" width="10.1640625" style="213" bestFit="1" customWidth="1"/>
    <col min="71" max="72" width="13" style="213" bestFit="1" customWidth="1"/>
    <col min="73" max="73" width="14.5" style="213" bestFit="1" customWidth="1"/>
    <col min="74" max="74" width="11.83203125" style="213" customWidth="1"/>
    <col min="75" max="80" width="10.1640625" style="213" bestFit="1" customWidth="1"/>
    <col min="81" max="81" width="10.5" style="213" bestFit="1" customWidth="1"/>
    <col min="82" max="82" width="14.1640625" style="213" bestFit="1" customWidth="1"/>
    <col min="83" max="83" width="10.1640625" style="213" bestFit="1" customWidth="1"/>
    <col min="84" max="84" width="13.83203125" style="213" bestFit="1" customWidth="1"/>
    <col min="85" max="87" width="10.1640625" style="213" bestFit="1" customWidth="1"/>
    <col min="88" max="143" width="9.5" style="213" bestFit="1" customWidth="1"/>
    <col min="144" max="16384" width="9.33203125" style="213"/>
  </cols>
  <sheetData>
    <row r="1" spans="1:146" s="211" customFormat="1">
      <c r="A1" s="189"/>
      <c r="B1" s="190">
        <f>COLUMN()</f>
        <v>2</v>
      </c>
      <c r="C1" s="190">
        <f>COLUMN()</f>
        <v>3</v>
      </c>
      <c r="D1" s="190">
        <f>COLUMN()</f>
        <v>4</v>
      </c>
      <c r="E1" s="190">
        <f>COLUMN()</f>
        <v>5</v>
      </c>
      <c r="F1" s="190">
        <f>COLUMN()</f>
        <v>6</v>
      </c>
      <c r="G1" s="190">
        <f>COLUMN()</f>
        <v>7</v>
      </c>
      <c r="H1" s="190">
        <f>COLUMN()</f>
        <v>8</v>
      </c>
      <c r="I1" s="190">
        <f>COLUMN()</f>
        <v>9</v>
      </c>
      <c r="J1" s="190">
        <f>COLUMN()</f>
        <v>10</v>
      </c>
      <c r="K1" s="190">
        <f>COLUMN()</f>
        <v>11</v>
      </c>
      <c r="L1" s="190">
        <f>COLUMN()</f>
        <v>12</v>
      </c>
      <c r="M1" s="190">
        <f>COLUMN()</f>
        <v>13</v>
      </c>
      <c r="N1" s="190">
        <f>COLUMN()</f>
        <v>14</v>
      </c>
      <c r="O1" s="190">
        <f>COLUMN()</f>
        <v>15</v>
      </c>
      <c r="P1" s="190">
        <f>COLUMN()</f>
        <v>16</v>
      </c>
      <c r="Q1" s="190">
        <f>COLUMN()</f>
        <v>17</v>
      </c>
      <c r="R1" s="190">
        <f>COLUMN()</f>
        <v>18</v>
      </c>
      <c r="S1" s="190">
        <f>COLUMN()</f>
        <v>19</v>
      </c>
      <c r="T1" s="190">
        <f>COLUMN()</f>
        <v>20</v>
      </c>
      <c r="U1" s="190">
        <f>COLUMN()</f>
        <v>21</v>
      </c>
      <c r="V1" s="190">
        <f>COLUMN()</f>
        <v>22</v>
      </c>
      <c r="W1" s="190">
        <f>COLUMN()</f>
        <v>23</v>
      </c>
      <c r="X1" s="190">
        <f>COLUMN()</f>
        <v>24</v>
      </c>
      <c r="Y1" s="190">
        <f>COLUMN()</f>
        <v>25</v>
      </c>
      <c r="Z1" s="190">
        <f>COLUMN()</f>
        <v>26</v>
      </c>
      <c r="AA1" s="190">
        <f>COLUMN()</f>
        <v>27</v>
      </c>
      <c r="AB1" s="190">
        <f>COLUMN()</f>
        <v>28</v>
      </c>
      <c r="AC1" s="190">
        <f>COLUMN()</f>
        <v>29</v>
      </c>
      <c r="AD1" s="190">
        <f>COLUMN()</f>
        <v>30</v>
      </c>
      <c r="AE1" s="190">
        <f>COLUMN()</f>
        <v>31</v>
      </c>
      <c r="AF1" s="190">
        <f>COLUMN()</f>
        <v>32</v>
      </c>
      <c r="AG1" s="190">
        <f>COLUMN()</f>
        <v>33</v>
      </c>
      <c r="AH1" s="190">
        <f>COLUMN()</f>
        <v>34</v>
      </c>
      <c r="AI1" s="190">
        <f>COLUMN()</f>
        <v>35</v>
      </c>
      <c r="AJ1" s="190">
        <f>COLUMN()</f>
        <v>36</v>
      </c>
      <c r="AK1" s="190">
        <f>COLUMN()</f>
        <v>37</v>
      </c>
      <c r="AL1" s="190">
        <f>COLUMN()</f>
        <v>38</v>
      </c>
      <c r="AM1" s="190">
        <f>COLUMN()</f>
        <v>39</v>
      </c>
      <c r="AN1" s="190">
        <f>COLUMN()</f>
        <v>40</v>
      </c>
      <c r="AO1" s="190">
        <f>COLUMN()</f>
        <v>41</v>
      </c>
      <c r="AP1" s="190">
        <f>COLUMN()</f>
        <v>42</v>
      </c>
      <c r="AQ1" s="190">
        <f>COLUMN()</f>
        <v>43</v>
      </c>
      <c r="AR1" s="190">
        <f>COLUMN()</f>
        <v>44</v>
      </c>
      <c r="AS1" s="190">
        <f>COLUMN()</f>
        <v>45</v>
      </c>
      <c r="AT1" s="190">
        <f>COLUMN()</f>
        <v>46</v>
      </c>
      <c r="AU1" s="190">
        <f>COLUMN()</f>
        <v>47</v>
      </c>
      <c r="AV1" s="190">
        <f>COLUMN()</f>
        <v>48</v>
      </c>
      <c r="AW1" s="190">
        <f>COLUMN()</f>
        <v>49</v>
      </c>
      <c r="AX1" s="190">
        <f>COLUMN()</f>
        <v>50</v>
      </c>
      <c r="AY1" s="190">
        <f>COLUMN()</f>
        <v>51</v>
      </c>
      <c r="AZ1" s="190">
        <f>COLUMN()</f>
        <v>52</v>
      </c>
      <c r="BA1" s="190">
        <f>COLUMN()</f>
        <v>53</v>
      </c>
      <c r="BB1" s="190">
        <f>COLUMN()</f>
        <v>54</v>
      </c>
      <c r="BC1" s="190">
        <f>COLUMN()</f>
        <v>55</v>
      </c>
      <c r="BD1" s="190">
        <f>COLUMN()</f>
        <v>56</v>
      </c>
      <c r="BE1" s="190">
        <f>COLUMN()</f>
        <v>57</v>
      </c>
      <c r="BF1" s="190">
        <f>COLUMN()</f>
        <v>58</v>
      </c>
      <c r="BG1" s="190">
        <f>COLUMN()</f>
        <v>59</v>
      </c>
      <c r="BH1" s="190">
        <f>COLUMN()</f>
        <v>60</v>
      </c>
      <c r="BI1" s="190">
        <f>COLUMN()</f>
        <v>61</v>
      </c>
      <c r="BJ1" s="190">
        <f>COLUMN()</f>
        <v>62</v>
      </c>
      <c r="BK1" s="190">
        <f>COLUMN()</f>
        <v>63</v>
      </c>
      <c r="BL1" s="190">
        <f>COLUMN()</f>
        <v>64</v>
      </c>
      <c r="BM1" s="190">
        <f>COLUMN()</f>
        <v>65</v>
      </c>
      <c r="BN1" s="190">
        <f>COLUMN()</f>
        <v>66</v>
      </c>
      <c r="BO1" s="190">
        <f>COLUMN()</f>
        <v>67</v>
      </c>
      <c r="BP1" s="190">
        <f>COLUMN()</f>
        <v>68</v>
      </c>
      <c r="BQ1" s="190">
        <f>COLUMN()</f>
        <v>69</v>
      </c>
      <c r="BR1" s="190">
        <f>COLUMN()</f>
        <v>70</v>
      </c>
      <c r="BS1" s="190">
        <f>COLUMN()</f>
        <v>71</v>
      </c>
      <c r="BT1" s="190">
        <f>COLUMN()</f>
        <v>72</v>
      </c>
      <c r="BU1" s="190">
        <f>COLUMN()</f>
        <v>73</v>
      </c>
      <c r="BV1" s="190">
        <f>COLUMN()</f>
        <v>74</v>
      </c>
      <c r="BW1" s="190">
        <f>COLUMN()</f>
        <v>75</v>
      </c>
      <c r="BX1" s="190">
        <f>COLUMN()</f>
        <v>76</v>
      </c>
      <c r="BY1" s="190">
        <f>COLUMN()</f>
        <v>77</v>
      </c>
      <c r="BZ1" s="190">
        <f>COLUMN()</f>
        <v>78</v>
      </c>
      <c r="CA1" s="190">
        <f>COLUMN()</f>
        <v>79</v>
      </c>
      <c r="CB1" s="190">
        <f>COLUMN()</f>
        <v>80</v>
      </c>
      <c r="CC1" s="190">
        <f>COLUMN()</f>
        <v>81</v>
      </c>
      <c r="CD1" s="190">
        <f>COLUMN()</f>
        <v>82</v>
      </c>
      <c r="CE1" s="190">
        <f>COLUMN()</f>
        <v>83</v>
      </c>
      <c r="CF1" s="190">
        <f>COLUMN()</f>
        <v>84</v>
      </c>
      <c r="CG1" s="190">
        <f>COLUMN()</f>
        <v>85</v>
      </c>
      <c r="CH1" s="190">
        <f>COLUMN()</f>
        <v>86</v>
      </c>
      <c r="CI1" s="190">
        <f>COLUMN()</f>
        <v>87</v>
      </c>
      <c r="CJ1" s="190">
        <f>COLUMN()</f>
        <v>88</v>
      </c>
      <c r="CK1" s="190">
        <f>COLUMN()</f>
        <v>89</v>
      </c>
      <c r="CL1" s="190">
        <f>COLUMN()</f>
        <v>90</v>
      </c>
      <c r="CM1" s="190">
        <f>COLUMN()</f>
        <v>91</v>
      </c>
      <c r="CN1" s="190">
        <f>COLUMN()</f>
        <v>92</v>
      </c>
      <c r="CO1" s="190">
        <f>COLUMN()</f>
        <v>93</v>
      </c>
      <c r="CP1" s="190">
        <f>COLUMN()</f>
        <v>94</v>
      </c>
      <c r="CQ1" s="190">
        <f>COLUMN()</f>
        <v>95</v>
      </c>
      <c r="CR1" s="190">
        <f>COLUMN()</f>
        <v>96</v>
      </c>
      <c r="CS1" s="190">
        <f>COLUMN()</f>
        <v>97</v>
      </c>
      <c r="CT1" s="190">
        <f>COLUMN()</f>
        <v>98</v>
      </c>
      <c r="CU1" s="190">
        <f>COLUMN()</f>
        <v>99</v>
      </c>
      <c r="CV1" s="190">
        <f>COLUMN()</f>
        <v>100</v>
      </c>
      <c r="CW1" s="190">
        <f>COLUMN()</f>
        <v>101</v>
      </c>
      <c r="CX1" s="190">
        <f>COLUMN()</f>
        <v>102</v>
      </c>
      <c r="CY1" s="190">
        <f>COLUMN()</f>
        <v>103</v>
      </c>
      <c r="CZ1" s="190">
        <f>COLUMN()</f>
        <v>104</v>
      </c>
      <c r="DA1" s="190">
        <f>COLUMN()</f>
        <v>105</v>
      </c>
      <c r="DB1" s="190">
        <f>COLUMN()</f>
        <v>106</v>
      </c>
      <c r="DC1" s="190">
        <f>COLUMN()</f>
        <v>107</v>
      </c>
      <c r="DD1" s="190">
        <f>COLUMN()</f>
        <v>108</v>
      </c>
      <c r="DE1" s="190">
        <f>COLUMN()</f>
        <v>109</v>
      </c>
      <c r="DF1" s="190">
        <f>COLUMN()</f>
        <v>110</v>
      </c>
      <c r="DG1" s="190">
        <f>COLUMN()</f>
        <v>111</v>
      </c>
      <c r="DH1" s="190">
        <f>COLUMN()</f>
        <v>112</v>
      </c>
      <c r="DI1" s="190">
        <f>COLUMN()</f>
        <v>113</v>
      </c>
      <c r="DJ1" s="190">
        <f>COLUMN()</f>
        <v>114</v>
      </c>
      <c r="DK1" s="190">
        <f>COLUMN()</f>
        <v>115</v>
      </c>
      <c r="DL1" s="190">
        <f>COLUMN()</f>
        <v>116</v>
      </c>
      <c r="DM1" s="190">
        <f>COLUMN()</f>
        <v>117</v>
      </c>
      <c r="DN1" s="190">
        <f>COLUMN()</f>
        <v>118</v>
      </c>
      <c r="DO1" s="190">
        <f>COLUMN()</f>
        <v>119</v>
      </c>
      <c r="DP1" s="190">
        <f>COLUMN()</f>
        <v>120</v>
      </c>
      <c r="DQ1" s="190">
        <f>COLUMN()</f>
        <v>121</v>
      </c>
      <c r="DR1" s="190">
        <f>COLUMN()</f>
        <v>122</v>
      </c>
      <c r="DS1" s="190">
        <f>COLUMN()</f>
        <v>123</v>
      </c>
      <c r="DT1" s="190">
        <f>COLUMN()</f>
        <v>124</v>
      </c>
      <c r="DU1" s="190">
        <f>COLUMN()</f>
        <v>125</v>
      </c>
      <c r="DV1" s="190">
        <f>COLUMN()</f>
        <v>126</v>
      </c>
      <c r="DW1" s="190">
        <f>COLUMN()</f>
        <v>127</v>
      </c>
      <c r="DX1" s="190">
        <f>COLUMN()</f>
        <v>128</v>
      </c>
      <c r="DY1" s="190">
        <f>COLUMN()</f>
        <v>129</v>
      </c>
      <c r="DZ1" s="190">
        <f>COLUMN()</f>
        <v>130</v>
      </c>
      <c r="EA1" s="190">
        <f>COLUMN()</f>
        <v>131</v>
      </c>
      <c r="EB1" s="190">
        <f>COLUMN()</f>
        <v>132</v>
      </c>
      <c r="EC1" s="190">
        <f>COLUMN()</f>
        <v>133</v>
      </c>
      <c r="ED1" s="190">
        <f>COLUMN()</f>
        <v>134</v>
      </c>
      <c r="EE1" s="190">
        <f>COLUMN()</f>
        <v>135</v>
      </c>
      <c r="EF1" s="190">
        <f>COLUMN()</f>
        <v>136</v>
      </c>
      <c r="EG1" s="190">
        <f>COLUMN()</f>
        <v>137</v>
      </c>
      <c r="EH1" s="190">
        <f>COLUMN()</f>
        <v>138</v>
      </c>
      <c r="EI1" s="190">
        <f>COLUMN()</f>
        <v>139</v>
      </c>
      <c r="EJ1" s="190">
        <f>COLUMN()</f>
        <v>140</v>
      </c>
      <c r="EK1" s="190">
        <f>COLUMN()</f>
        <v>141</v>
      </c>
      <c r="EL1" s="190">
        <f>COLUMN()</f>
        <v>142</v>
      </c>
      <c r="EM1" s="190">
        <f>COLUMN()</f>
        <v>143</v>
      </c>
      <c r="EN1" s="190"/>
    </row>
    <row r="2" spans="1:146" s="212" customFormat="1" ht="15">
      <c r="A2" s="191" t="s">
        <v>43</v>
      </c>
      <c r="B2" s="191" t="s">
        <v>41</v>
      </c>
      <c r="C2" s="191" t="s">
        <v>227</v>
      </c>
      <c r="D2" s="191" t="s">
        <v>51</v>
      </c>
      <c r="E2" s="191" t="s">
        <v>25</v>
      </c>
      <c r="F2" s="191" t="s">
        <v>52</v>
      </c>
      <c r="G2" s="191" t="s">
        <v>53</v>
      </c>
      <c r="H2" s="191" t="s">
        <v>54</v>
      </c>
      <c r="I2" s="191" t="s">
        <v>55</v>
      </c>
      <c r="J2" s="191" t="s">
        <v>56</v>
      </c>
      <c r="K2" s="191" t="s">
        <v>57</v>
      </c>
      <c r="L2" s="191" t="s">
        <v>4</v>
      </c>
      <c r="M2" s="191" t="s">
        <v>67</v>
      </c>
      <c r="N2" s="191" t="s">
        <v>58</v>
      </c>
      <c r="O2" s="191" t="s">
        <v>59</v>
      </c>
      <c r="P2" s="191" t="s">
        <v>60</v>
      </c>
      <c r="Q2" s="191" t="s">
        <v>61</v>
      </c>
      <c r="R2" s="191" t="s">
        <v>5</v>
      </c>
      <c r="S2" s="191" t="s">
        <v>62</v>
      </c>
      <c r="T2" s="191" t="s">
        <v>63</v>
      </c>
      <c r="U2" s="191" t="s">
        <v>64</v>
      </c>
      <c r="V2" s="191" t="s">
        <v>42</v>
      </c>
      <c r="W2" s="191" t="s">
        <v>65</v>
      </c>
      <c r="X2" s="191" t="s">
        <v>66</v>
      </c>
      <c r="Y2" s="191" t="s">
        <v>28</v>
      </c>
      <c r="Z2" s="192" t="s">
        <v>279</v>
      </c>
      <c r="AA2" s="192" t="s">
        <v>280</v>
      </c>
      <c r="AB2" s="193" t="s">
        <v>281</v>
      </c>
      <c r="AC2" s="192" t="s">
        <v>282</v>
      </c>
      <c r="AD2" s="192" t="s">
        <v>283</v>
      </c>
      <c r="AE2" s="193" t="s">
        <v>284</v>
      </c>
      <c r="AF2" s="192" t="s">
        <v>285</v>
      </c>
      <c r="AG2" s="192" t="s">
        <v>286</v>
      </c>
      <c r="AH2" s="192" t="s">
        <v>287</v>
      </c>
      <c r="AI2" s="192" t="s">
        <v>288</v>
      </c>
      <c r="AJ2" s="192" t="s">
        <v>289</v>
      </c>
      <c r="AK2" s="193" t="s">
        <v>290</v>
      </c>
      <c r="AL2" s="194" t="s">
        <v>291</v>
      </c>
      <c r="AM2" s="194" t="s">
        <v>292</v>
      </c>
      <c r="AN2" s="194" t="s">
        <v>293</v>
      </c>
      <c r="AO2" s="194" t="s">
        <v>294</v>
      </c>
      <c r="AP2" s="195" t="s">
        <v>295</v>
      </c>
      <c r="AQ2" s="194" t="s">
        <v>180</v>
      </c>
      <c r="AR2" s="194" t="s">
        <v>69</v>
      </c>
      <c r="AS2" s="194" t="s">
        <v>296</v>
      </c>
      <c r="AT2" s="194" t="s">
        <v>297</v>
      </c>
      <c r="AU2" s="194" t="s">
        <v>298</v>
      </c>
      <c r="AV2" s="194" t="s">
        <v>70</v>
      </c>
      <c r="AW2" s="194" t="s">
        <v>299</v>
      </c>
      <c r="AX2" s="194" t="s">
        <v>300</v>
      </c>
      <c r="AY2" s="194" t="s">
        <v>301</v>
      </c>
      <c r="AZ2" s="194" t="s">
        <v>302</v>
      </c>
      <c r="BA2" s="194" t="s">
        <v>303</v>
      </c>
      <c r="BB2" s="194" t="s">
        <v>304</v>
      </c>
      <c r="BC2" s="194" t="s">
        <v>305</v>
      </c>
      <c r="BD2" s="194" t="s">
        <v>306</v>
      </c>
      <c r="BE2" s="194" t="s">
        <v>307</v>
      </c>
      <c r="BF2" s="194" t="s">
        <v>308</v>
      </c>
      <c r="BG2" s="194" t="s">
        <v>309</v>
      </c>
      <c r="BH2" s="194" t="s">
        <v>310</v>
      </c>
      <c r="BI2" s="194" t="s">
        <v>311</v>
      </c>
      <c r="BJ2" s="194" t="s">
        <v>312</v>
      </c>
      <c r="BK2" s="194" t="s">
        <v>313</v>
      </c>
      <c r="BL2" s="194" t="s">
        <v>314</v>
      </c>
      <c r="BM2" s="191">
        <v>5.16</v>
      </c>
      <c r="BN2" s="191">
        <v>5.16</v>
      </c>
      <c r="BO2" s="191">
        <v>5.17</v>
      </c>
      <c r="BP2" s="191">
        <v>5.17</v>
      </c>
      <c r="BQ2" s="195" t="s">
        <v>158</v>
      </c>
      <c r="BR2" s="194" t="s">
        <v>315</v>
      </c>
      <c r="BS2" s="196" t="s">
        <v>159</v>
      </c>
      <c r="BT2" s="188" t="s">
        <v>339</v>
      </c>
      <c r="BU2" s="187" t="s">
        <v>340</v>
      </c>
      <c r="BV2" s="187" t="s">
        <v>341</v>
      </c>
      <c r="BW2" s="187" t="s">
        <v>342</v>
      </c>
      <c r="BX2" s="187" t="s">
        <v>343</v>
      </c>
      <c r="BY2" s="187" t="s">
        <v>344</v>
      </c>
      <c r="BZ2" s="187" t="s">
        <v>345</v>
      </c>
      <c r="CA2" s="187" t="s">
        <v>346</v>
      </c>
      <c r="CB2" s="187" t="s">
        <v>347</v>
      </c>
      <c r="CC2" s="187" t="s">
        <v>348</v>
      </c>
      <c r="CD2" s="187" t="s">
        <v>349</v>
      </c>
      <c r="CE2" s="187" t="s">
        <v>350</v>
      </c>
      <c r="CF2" s="187" t="s">
        <v>351</v>
      </c>
      <c r="CG2" s="187" t="s">
        <v>352</v>
      </c>
      <c r="CH2" s="187" t="s">
        <v>353</v>
      </c>
      <c r="CI2" s="187" t="s">
        <v>354</v>
      </c>
      <c r="CJ2" s="187" t="s">
        <v>355</v>
      </c>
      <c r="CK2" s="187" t="s">
        <v>356</v>
      </c>
      <c r="CL2" s="187" t="s">
        <v>357</v>
      </c>
      <c r="CM2" s="187" t="s">
        <v>358</v>
      </c>
      <c r="CN2" s="187" t="s">
        <v>359</v>
      </c>
      <c r="CO2" s="187" t="s">
        <v>360</v>
      </c>
      <c r="CP2" s="187" t="s">
        <v>361</v>
      </c>
      <c r="CQ2" s="187" t="s">
        <v>362</v>
      </c>
      <c r="CR2" s="187" t="s">
        <v>363</v>
      </c>
      <c r="CS2" s="187" t="s">
        <v>364</v>
      </c>
      <c r="CT2" s="187" t="s">
        <v>365</v>
      </c>
      <c r="CU2" s="187" t="s">
        <v>366</v>
      </c>
      <c r="CV2" s="187" t="s">
        <v>367</v>
      </c>
      <c r="CW2" s="187" t="s">
        <v>368</v>
      </c>
      <c r="CX2" s="187" t="s">
        <v>369</v>
      </c>
      <c r="CY2" s="187" t="s">
        <v>370</v>
      </c>
      <c r="CZ2" s="187" t="s">
        <v>371</v>
      </c>
      <c r="DA2" s="187" t="s">
        <v>372</v>
      </c>
      <c r="DB2" s="187" t="s">
        <v>373</v>
      </c>
      <c r="DC2" s="187" t="s">
        <v>374</v>
      </c>
      <c r="DD2" s="187" t="s">
        <v>375</v>
      </c>
      <c r="DE2" s="187" t="s">
        <v>376</v>
      </c>
      <c r="DF2" s="187" t="s">
        <v>377</v>
      </c>
      <c r="DG2" s="187" t="s">
        <v>378</v>
      </c>
      <c r="DH2" s="187" t="s">
        <v>379</v>
      </c>
      <c r="DI2" s="187" t="s">
        <v>380</v>
      </c>
      <c r="DJ2" s="187" t="s">
        <v>381</v>
      </c>
      <c r="DK2" s="187" t="s">
        <v>382</v>
      </c>
      <c r="DL2" s="187" t="s">
        <v>383</v>
      </c>
      <c r="DM2" s="187" t="s">
        <v>384</v>
      </c>
      <c r="DN2" s="187" t="s">
        <v>385</v>
      </c>
      <c r="DO2" s="187" t="s">
        <v>386</v>
      </c>
      <c r="DP2" s="187" t="s">
        <v>387</v>
      </c>
      <c r="DQ2" s="187" t="s">
        <v>388</v>
      </c>
      <c r="DR2" s="187" t="s">
        <v>389</v>
      </c>
      <c r="DS2" s="187" t="s">
        <v>390</v>
      </c>
      <c r="DT2" s="187" t="s">
        <v>391</v>
      </c>
      <c r="DU2" s="187" t="s">
        <v>392</v>
      </c>
      <c r="DV2" s="187" t="s">
        <v>393</v>
      </c>
      <c r="DW2" s="187" t="s">
        <v>394</v>
      </c>
      <c r="DX2" s="187" t="s">
        <v>395</v>
      </c>
      <c r="DY2" s="187" t="s">
        <v>396</v>
      </c>
      <c r="DZ2" s="187" t="s">
        <v>397</v>
      </c>
      <c r="EA2" s="187" t="s">
        <v>398</v>
      </c>
      <c r="EB2" s="187" t="s">
        <v>399</v>
      </c>
      <c r="EC2" s="187" t="s">
        <v>400</v>
      </c>
      <c r="ED2" s="187" t="s">
        <v>401</v>
      </c>
      <c r="EE2" s="187" t="s">
        <v>402</v>
      </c>
      <c r="EF2" s="187" t="s">
        <v>403</v>
      </c>
      <c r="EG2" s="187" t="s">
        <v>404</v>
      </c>
      <c r="EH2" s="187" t="s">
        <v>405</v>
      </c>
      <c r="EI2" s="187" t="s">
        <v>406</v>
      </c>
      <c r="EJ2" s="187" t="s">
        <v>407</v>
      </c>
      <c r="EK2" s="187" t="s">
        <v>408</v>
      </c>
      <c r="EL2" s="187" t="s">
        <v>409</v>
      </c>
      <c r="EM2" s="187" t="s">
        <v>410</v>
      </c>
      <c r="EN2" s="187" t="s">
        <v>411</v>
      </c>
    </row>
    <row r="3" spans="1:146" ht="15">
      <c r="A3" s="187" t="str">
        <f>CONCATENATE("MIZPP",B3,E3,C3)</f>
        <v>MIZPP00119357427A</v>
      </c>
      <c r="B3" s="197" t="s">
        <v>177</v>
      </c>
      <c r="C3" s="198" t="s">
        <v>226</v>
      </c>
      <c r="D3" s="199" t="s">
        <v>1080</v>
      </c>
      <c r="E3" s="199">
        <v>19357427</v>
      </c>
      <c r="F3" s="199" t="s">
        <v>591</v>
      </c>
      <c r="G3" s="187"/>
      <c r="H3" s="198"/>
      <c r="I3" s="187"/>
      <c r="J3" s="187"/>
      <c r="K3" s="187"/>
      <c r="L3" s="200"/>
      <c r="M3" s="199" t="s">
        <v>591</v>
      </c>
      <c r="N3" s="198"/>
      <c r="O3" s="200"/>
      <c r="P3" s="198"/>
      <c r="Q3" s="199" t="s">
        <v>620</v>
      </c>
      <c r="R3" s="187"/>
      <c r="S3" s="198"/>
      <c r="T3" s="198"/>
      <c r="U3" s="187"/>
      <c r="V3" s="187"/>
      <c r="W3" s="187"/>
      <c r="X3" s="187"/>
      <c r="Y3" s="199" t="s">
        <v>537</v>
      </c>
      <c r="Z3" s="201">
        <v>150000</v>
      </c>
      <c r="AA3" s="201">
        <v>0</v>
      </c>
      <c r="AB3" s="193">
        <f>+Z3+AA3</f>
        <v>150000</v>
      </c>
      <c r="AC3" s="201">
        <v>90000</v>
      </c>
      <c r="AD3" s="201">
        <v>0</v>
      </c>
      <c r="AE3" s="193">
        <f>+AC3+AD3</f>
        <v>90000</v>
      </c>
      <c r="AF3" s="201">
        <v>0</v>
      </c>
      <c r="AG3" s="196"/>
      <c r="AH3" s="187"/>
      <c r="AI3" s="187"/>
      <c r="AJ3" s="187"/>
      <c r="AK3" s="193">
        <f>+AF3</f>
        <v>0</v>
      </c>
      <c r="AL3" s="199" t="s">
        <v>29</v>
      </c>
      <c r="AM3" s="199" t="s">
        <v>29</v>
      </c>
      <c r="AN3" s="199" t="s">
        <v>29</v>
      </c>
      <c r="AO3" s="199" t="s">
        <v>29</v>
      </c>
      <c r="AP3" s="193"/>
      <c r="AQ3" s="201">
        <v>0</v>
      </c>
      <c r="AR3" s="201">
        <v>0</v>
      </c>
      <c r="AS3" s="201">
        <v>0</v>
      </c>
      <c r="AT3" s="201">
        <v>0</v>
      </c>
      <c r="AU3" s="201">
        <v>0</v>
      </c>
      <c r="AV3" s="201">
        <v>0</v>
      </c>
      <c r="AW3" s="201">
        <v>0</v>
      </c>
      <c r="AX3" s="201">
        <v>60000</v>
      </c>
      <c r="AY3" s="199" t="s">
        <v>637</v>
      </c>
      <c r="AZ3" s="199">
        <v>0</v>
      </c>
      <c r="BA3" s="199" t="s">
        <v>29</v>
      </c>
      <c r="BB3" s="199" t="s">
        <v>29</v>
      </c>
      <c r="BC3" s="199" t="s">
        <v>29</v>
      </c>
      <c r="BD3" s="199" t="s">
        <v>29</v>
      </c>
      <c r="BE3" s="199" t="s">
        <v>29</v>
      </c>
      <c r="BF3" s="199" t="s">
        <v>29</v>
      </c>
      <c r="BG3" s="199" t="s">
        <v>29</v>
      </c>
      <c r="BH3" s="199" t="s">
        <v>29</v>
      </c>
      <c r="BI3" s="199" t="s">
        <v>29</v>
      </c>
      <c r="BJ3" s="199" t="s">
        <v>29</v>
      </c>
      <c r="BK3" s="199" t="s">
        <v>29</v>
      </c>
      <c r="BL3" s="199" t="s">
        <v>29</v>
      </c>
      <c r="BM3" s="199" t="s">
        <v>29</v>
      </c>
      <c r="BN3" s="199" t="s">
        <v>29</v>
      </c>
      <c r="BO3" s="199" t="s">
        <v>29</v>
      </c>
      <c r="BP3" s="199" t="s">
        <v>29</v>
      </c>
      <c r="BQ3" s="193"/>
      <c r="BR3" s="187">
        <v>0</v>
      </c>
      <c r="BS3" s="202">
        <v>300000</v>
      </c>
      <c r="BT3" s="199">
        <v>593000</v>
      </c>
      <c r="BU3" s="192" t="s">
        <v>723</v>
      </c>
      <c r="BV3" s="192" t="s">
        <v>194</v>
      </c>
      <c r="BW3" s="192">
        <v>40</v>
      </c>
      <c r="BX3" s="192" t="s">
        <v>430</v>
      </c>
      <c r="BY3" s="192" t="s">
        <v>139</v>
      </c>
      <c r="BZ3" s="192" t="s">
        <v>144</v>
      </c>
      <c r="CA3" s="192">
        <v>2</v>
      </c>
      <c r="CB3" s="192" t="s">
        <v>139</v>
      </c>
      <c r="CC3" s="192" t="s">
        <v>724</v>
      </c>
      <c r="CD3" s="192" t="s">
        <v>725</v>
      </c>
      <c r="CE3" s="192">
        <v>200</v>
      </c>
      <c r="CF3" s="192" t="s">
        <v>726</v>
      </c>
      <c r="CG3" s="192" t="s">
        <v>727</v>
      </c>
      <c r="CH3" s="192" t="s">
        <v>97</v>
      </c>
      <c r="CI3" s="192">
        <v>24</v>
      </c>
      <c r="CJ3" s="192" t="s">
        <v>134</v>
      </c>
      <c r="CK3" s="192" t="s">
        <v>728</v>
      </c>
      <c r="CL3" s="192" t="s">
        <v>729</v>
      </c>
      <c r="CM3" s="192">
        <v>12000</v>
      </c>
      <c r="CN3" s="192" t="s">
        <v>730</v>
      </c>
      <c r="CO3" s="192" t="s">
        <v>316</v>
      </c>
      <c r="CP3" s="192" t="s">
        <v>316</v>
      </c>
      <c r="CQ3" s="192" t="s">
        <v>316</v>
      </c>
      <c r="CR3" s="192" t="s">
        <v>316</v>
      </c>
      <c r="CS3" s="192" t="s">
        <v>316</v>
      </c>
      <c r="CT3" s="192" t="s">
        <v>316</v>
      </c>
      <c r="CU3" s="192" t="s">
        <v>316</v>
      </c>
      <c r="CV3" s="192" t="s">
        <v>316</v>
      </c>
      <c r="CW3" s="192" t="s">
        <v>316</v>
      </c>
      <c r="CX3" s="192" t="s">
        <v>316</v>
      </c>
      <c r="CY3" s="192" t="s">
        <v>316</v>
      </c>
      <c r="CZ3" s="192" t="s">
        <v>316</v>
      </c>
      <c r="DA3" s="192" t="s">
        <v>316</v>
      </c>
      <c r="DB3" s="192" t="s">
        <v>316</v>
      </c>
      <c r="DC3" s="192" t="s">
        <v>316</v>
      </c>
      <c r="DD3" s="192" t="s">
        <v>316</v>
      </c>
      <c r="DE3" s="192" t="s">
        <v>316</v>
      </c>
      <c r="DF3" s="192" t="s">
        <v>316</v>
      </c>
      <c r="DG3" s="192" t="s">
        <v>316</v>
      </c>
      <c r="DH3" s="192" t="s">
        <v>316</v>
      </c>
      <c r="DI3" s="192" t="s">
        <v>316</v>
      </c>
      <c r="DJ3" s="192" t="s">
        <v>316</v>
      </c>
      <c r="DK3" s="192" t="s">
        <v>316</v>
      </c>
      <c r="DL3" s="192" t="s">
        <v>316</v>
      </c>
      <c r="DM3" s="192" t="s">
        <v>316</v>
      </c>
      <c r="DN3" s="192" t="s">
        <v>316</v>
      </c>
      <c r="DO3" s="192" t="s">
        <v>316</v>
      </c>
      <c r="DP3" s="192" t="s">
        <v>316</v>
      </c>
      <c r="DQ3" s="192" t="s">
        <v>316</v>
      </c>
      <c r="DR3" s="192" t="s">
        <v>316</v>
      </c>
      <c r="DS3" s="192" t="s">
        <v>316</v>
      </c>
      <c r="DT3" s="192" t="s">
        <v>316</v>
      </c>
      <c r="DU3" s="192" t="s">
        <v>316</v>
      </c>
      <c r="DV3" s="192" t="s">
        <v>316</v>
      </c>
      <c r="DW3" s="192" t="s">
        <v>316</v>
      </c>
      <c r="DX3" s="192" t="s">
        <v>316</v>
      </c>
      <c r="DY3" s="192" t="s">
        <v>316</v>
      </c>
      <c r="DZ3" s="192" t="s">
        <v>316</v>
      </c>
      <c r="EA3" s="192" t="s">
        <v>316</v>
      </c>
      <c r="EB3" s="192" t="s">
        <v>316</v>
      </c>
      <c r="EC3" s="192" t="s">
        <v>29</v>
      </c>
      <c r="ED3" s="192" t="s">
        <v>29</v>
      </c>
      <c r="EE3" s="192" t="s">
        <v>29</v>
      </c>
      <c r="EF3" s="192" t="s">
        <v>29</v>
      </c>
      <c r="EG3" s="192" t="s">
        <v>29</v>
      </c>
      <c r="EH3" s="192" t="s">
        <v>29</v>
      </c>
      <c r="EI3" s="192" t="s">
        <v>29</v>
      </c>
      <c r="EJ3" s="192" t="s">
        <v>29</v>
      </c>
      <c r="EK3" s="192" t="s">
        <v>29</v>
      </c>
      <c r="EL3" s="192" t="s">
        <v>29</v>
      </c>
      <c r="EM3" s="192" t="s">
        <v>29</v>
      </c>
      <c r="EN3" s="192" t="s">
        <v>29</v>
      </c>
    </row>
    <row r="4" spans="1:146" ht="15">
      <c r="A4" s="187" t="str">
        <f t="shared" ref="A4:A61" si="0">CONCATENATE("MIZPP",B4,E4,C4)</f>
        <v>MIZPP00370947805A</v>
      </c>
      <c r="B4" s="197" t="s">
        <v>509</v>
      </c>
      <c r="C4" s="198" t="s">
        <v>226</v>
      </c>
      <c r="D4" s="199" t="s">
        <v>1081</v>
      </c>
      <c r="E4" s="199">
        <v>70947805</v>
      </c>
      <c r="F4" s="199" t="s">
        <v>592</v>
      </c>
      <c r="G4" s="187"/>
      <c r="H4" s="198"/>
      <c r="I4" s="187"/>
      <c r="J4" s="187"/>
      <c r="K4" s="187"/>
      <c r="L4" s="200"/>
      <c r="M4" s="199" t="s">
        <v>592</v>
      </c>
      <c r="N4" s="198"/>
      <c r="O4" s="200"/>
      <c r="P4" s="198"/>
      <c r="Q4" s="199" t="s">
        <v>621</v>
      </c>
      <c r="R4" s="187"/>
      <c r="S4" s="198"/>
      <c r="T4" s="198"/>
      <c r="U4" s="187"/>
      <c r="V4" s="187"/>
      <c r="W4" s="187"/>
      <c r="X4" s="187"/>
      <c r="Y4" s="199" t="s">
        <v>538</v>
      </c>
      <c r="Z4" s="201">
        <v>164000</v>
      </c>
      <c r="AA4" s="201">
        <v>27000</v>
      </c>
      <c r="AB4" s="193">
        <f t="shared" ref="AB4:AB60" si="1">+Z4+AA4</f>
        <v>191000</v>
      </c>
      <c r="AC4" s="201">
        <v>4000</v>
      </c>
      <c r="AD4" s="201">
        <v>0</v>
      </c>
      <c r="AE4" s="193">
        <f t="shared" ref="AE4:AE60" si="2">+AC4+AD4</f>
        <v>4000</v>
      </c>
      <c r="AF4" s="201">
        <v>1000</v>
      </c>
      <c r="AG4" s="196"/>
      <c r="AH4" s="187"/>
      <c r="AI4" s="187"/>
      <c r="AJ4" s="187"/>
      <c r="AK4" s="193">
        <f t="shared" ref="AK4:AK60" si="3">+AF4</f>
        <v>1000</v>
      </c>
      <c r="AL4" s="199" t="s">
        <v>29</v>
      </c>
      <c r="AM4" s="199" t="s">
        <v>29</v>
      </c>
      <c r="AN4" s="199" t="s">
        <v>29</v>
      </c>
      <c r="AO4" s="199" t="s">
        <v>29</v>
      </c>
      <c r="AP4" s="193"/>
      <c r="AQ4" s="201">
        <v>5000</v>
      </c>
      <c r="AR4" s="201">
        <v>25000</v>
      </c>
      <c r="AS4" s="201">
        <v>6000</v>
      </c>
      <c r="AT4" s="201">
        <v>6000</v>
      </c>
      <c r="AU4" s="201">
        <v>800</v>
      </c>
      <c r="AV4" s="201">
        <v>500</v>
      </c>
      <c r="AW4" s="201">
        <v>0</v>
      </c>
      <c r="AX4" s="201">
        <v>0</v>
      </c>
      <c r="AY4" s="199" t="s">
        <v>638</v>
      </c>
      <c r="AZ4" s="199">
        <v>4000</v>
      </c>
      <c r="BA4" s="199" t="s">
        <v>639</v>
      </c>
      <c r="BB4" s="199">
        <v>10000</v>
      </c>
      <c r="BC4" s="199" t="s">
        <v>29</v>
      </c>
      <c r="BD4" s="199" t="s">
        <v>29</v>
      </c>
      <c r="BE4" s="199" t="s">
        <v>29</v>
      </c>
      <c r="BF4" s="199" t="s">
        <v>29</v>
      </c>
      <c r="BG4" s="199" t="s">
        <v>29</v>
      </c>
      <c r="BH4" s="199" t="s">
        <v>29</v>
      </c>
      <c r="BI4" s="199" t="s">
        <v>29</v>
      </c>
      <c r="BJ4" s="199" t="s">
        <v>29</v>
      </c>
      <c r="BK4" s="199" t="s">
        <v>29</v>
      </c>
      <c r="BL4" s="199" t="s">
        <v>29</v>
      </c>
      <c r="BM4" s="199" t="s">
        <v>29</v>
      </c>
      <c r="BN4" s="199" t="s">
        <v>29</v>
      </c>
      <c r="BO4" s="199" t="s">
        <v>29</v>
      </c>
      <c r="BP4" s="199" t="s">
        <v>29</v>
      </c>
      <c r="BQ4" s="193"/>
      <c r="BR4" s="187">
        <v>24000</v>
      </c>
      <c r="BS4" s="202">
        <v>277300</v>
      </c>
      <c r="BT4" s="199">
        <v>196900</v>
      </c>
      <c r="BU4" s="192" t="s">
        <v>731</v>
      </c>
      <c r="BV4" s="192" t="s">
        <v>97</v>
      </c>
      <c r="BW4" s="192">
        <v>3</v>
      </c>
      <c r="BX4" s="192" t="s">
        <v>137</v>
      </c>
      <c r="BY4" s="192" t="s">
        <v>732</v>
      </c>
      <c r="BZ4" s="192" t="s">
        <v>416</v>
      </c>
      <c r="CA4" s="192">
        <v>3</v>
      </c>
      <c r="CB4" s="192" t="s">
        <v>733</v>
      </c>
      <c r="CC4" s="192" t="s">
        <v>734</v>
      </c>
      <c r="CD4" s="192" t="s">
        <v>735</v>
      </c>
      <c r="CE4" s="192">
        <v>20</v>
      </c>
      <c r="CF4" s="192" t="s">
        <v>423</v>
      </c>
      <c r="CG4" s="192" t="s">
        <v>736</v>
      </c>
      <c r="CH4" s="192" t="s">
        <v>97</v>
      </c>
      <c r="CI4" s="192">
        <v>3</v>
      </c>
      <c r="CJ4" s="192" t="s">
        <v>466</v>
      </c>
      <c r="CK4" s="192" t="s">
        <v>737</v>
      </c>
      <c r="CL4" s="192" t="s">
        <v>489</v>
      </c>
      <c r="CM4" s="192">
        <v>12</v>
      </c>
      <c r="CN4" s="192" t="s">
        <v>488</v>
      </c>
      <c r="CO4" s="192" t="s">
        <v>738</v>
      </c>
      <c r="CP4" s="192" t="s">
        <v>97</v>
      </c>
      <c r="CQ4" s="192">
        <v>1</v>
      </c>
      <c r="CR4" s="192" t="s">
        <v>466</v>
      </c>
      <c r="CS4" s="192" t="s">
        <v>739</v>
      </c>
      <c r="CT4" s="192" t="s">
        <v>489</v>
      </c>
      <c r="CU4" s="192">
        <v>20</v>
      </c>
      <c r="CV4" s="192" t="s">
        <v>488</v>
      </c>
      <c r="CW4" s="192" t="s">
        <v>740</v>
      </c>
      <c r="CX4" s="192" t="s">
        <v>97</v>
      </c>
      <c r="CY4" s="192">
        <v>12</v>
      </c>
      <c r="CZ4" s="192" t="s">
        <v>137</v>
      </c>
      <c r="DA4" s="192" t="s">
        <v>741</v>
      </c>
      <c r="DB4" s="192" t="s">
        <v>416</v>
      </c>
      <c r="DC4" s="192">
        <v>5000</v>
      </c>
      <c r="DD4" s="192" t="s">
        <v>733</v>
      </c>
      <c r="DE4" s="192" t="s">
        <v>742</v>
      </c>
      <c r="DF4" s="192" t="s">
        <v>97</v>
      </c>
      <c r="DG4" s="192">
        <v>1</v>
      </c>
      <c r="DH4" s="192" t="s">
        <v>137</v>
      </c>
      <c r="DI4" s="192" t="s">
        <v>743</v>
      </c>
      <c r="DJ4" s="192" t="s">
        <v>416</v>
      </c>
      <c r="DK4" s="192">
        <v>100</v>
      </c>
      <c r="DL4" s="192" t="s">
        <v>733</v>
      </c>
      <c r="DM4" s="192" t="s">
        <v>140</v>
      </c>
      <c r="DN4" s="192" t="s">
        <v>97</v>
      </c>
      <c r="DO4" s="192">
        <v>2</v>
      </c>
      <c r="DP4" s="192" t="s">
        <v>137</v>
      </c>
      <c r="DQ4" s="192" t="s">
        <v>744</v>
      </c>
      <c r="DR4" s="192" t="s">
        <v>416</v>
      </c>
      <c r="DS4" s="192">
        <v>6000</v>
      </c>
      <c r="DT4" s="192" t="s">
        <v>733</v>
      </c>
      <c r="DU4" s="192" t="s">
        <v>195</v>
      </c>
      <c r="DV4" s="192" t="s">
        <v>97</v>
      </c>
      <c r="DW4" s="192">
        <v>1</v>
      </c>
      <c r="DX4" s="192" t="s">
        <v>466</v>
      </c>
      <c r="DY4" s="192" t="s">
        <v>745</v>
      </c>
      <c r="DZ4" s="192" t="s">
        <v>489</v>
      </c>
      <c r="EA4" s="192">
        <v>30</v>
      </c>
      <c r="EB4" s="192" t="s">
        <v>488</v>
      </c>
      <c r="EC4" s="192" t="s">
        <v>29</v>
      </c>
      <c r="ED4" s="192" t="s">
        <v>29</v>
      </c>
      <c r="EE4" s="192" t="s">
        <v>29</v>
      </c>
      <c r="EF4" s="192" t="s">
        <v>29</v>
      </c>
      <c r="EG4" s="192" t="s">
        <v>29</v>
      </c>
      <c r="EH4" s="192" t="s">
        <v>29</v>
      </c>
      <c r="EI4" s="192" t="s">
        <v>29</v>
      </c>
      <c r="EJ4" s="192" t="s">
        <v>29</v>
      </c>
      <c r="EK4" s="192" t="s">
        <v>29</v>
      </c>
      <c r="EL4" s="192" t="s">
        <v>29</v>
      </c>
      <c r="EM4" s="192" t="s">
        <v>29</v>
      </c>
      <c r="EN4" s="192" t="s">
        <v>29</v>
      </c>
    </row>
    <row r="5" spans="1:146" ht="15">
      <c r="A5" s="187" t="str">
        <f t="shared" si="0"/>
        <v>MIZPP00422743731A</v>
      </c>
      <c r="B5" s="197" t="s">
        <v>511</v>
      </c>
      <c r="C5" s="198" t="s">
        <v>226</v>
      </c>
      <c r="D5" s="199" t="s">
        <v>1082</v>
      </c>
      <c r="E5" s="199">
        <v>22743731</v>
      </c>
      <c r="F5" s="199" t="s">
        <v>254</v>
      </c>
      <c r="G5" s="187"/>
      <c r="H5" s="198"/>
      <c r="I5" s="187"/>
      <c r="J5" s="187"/>
      <c r="K5" s="187"/>
      <c r="L5" s="200"/>
      <c r="M5" s="199" t="s">
        <v>254</v>
      </c>
      <c r="N5" s="198"/>
      <c r="O5" s="200"/>
      <c r="P5" s="198"/>
      <c r="Q5" s="199" t="s">
        <v>272</v>
      </c>
      <c r="R5" s="187"/>
      <c r="S5" s="198"/>
      <c r="T5" s="198"/>
      <c r="U5" s="187"/>
      <c r="V5" s="187"/>
      <c r="W5" s="187"/>
      <c r="X5" s="187"/>
      <c r="Y5" s="199" t="s">
        <v>278</v>
      </c>
      <c r="Z5" s="201">
        <v>150000</v>
      </c>
      <c r="AA5" s="201">
        <v>0</v>
      </c>
      <c r="AB5" s="193">
        <f t="shared" si="1"/>
        <v>150000</v>
      </c>
      <c r="AC5" s="201">
        <v>0</v>
      </c>
      <c r="AD5" s="201">
        <v>0</v>
      </c>
      <c r="AE5" s="193">
        <f t="shared" si="2"/>
        <v>0</v>
      </c>
      <c r="AF5" s="201">
        <v>10000</v>
      </c>
      <c r="AG5" s="196"/>
      <c r="AH5" s="187"/>
      <c r="AI5" s="187"/>
      <c r="AJ5" s="187"/>
      <c r="AK5" s="193">
        <f t="shared" si="3"/>
        <v>10000</v>
      </c>
      <c r="AL5" s="199" t="s">
        <v>717</v>
      </c>
      <c r="AM5" s="199">
        <v>3000</v>
      </c>
      <c r="AN5" s="199" t="s">
        <v>29</v>
      </c>
      <c r="AO5" s="199" t="s">
        <v>29</v>
      </c>
      <c r="AP5" s="193"/>
      <c r="AQ5" s="201">
        <v>5000</v>
      </c>
      <c r="AR5" s="201">
        <v>10000</v>
      </c>
      <c r="AS5" s="201">
        <v>5000</v>
      </c>
      <c r="AT5" s="201">
        <v>0</v>
      </c>
      <c r="AU5" s="201">
        <v>20000</v>
      </c>
      <c r="AV5" s="201">
        <v>15000</v>
      </c>
      <c r="AW5" s="201">
        <v>5000</v>
      </c>
      <c r="AX5" s="201">
        <v>0</v>
      </c>
      <c r="AY5" s="199" t="s">
        <v>640</v>
      </c>
      <c r="AZ5" s="199">
        <v>18000</v>
      </c>
      <c r="BA5" s="199" t="s">
        <v>29</v>
      </c>
      <c r="BB5" s="199" t="s">
        <v>29</v>
      </c>
      <c r="BC5" s="199" t="s">
        <v>29</v>
      </c>
      <c r="BD5" s="199" t="s">
        <v>29</v>
      </c>
      <c r="BE5" s="199" t="s">
        <v>29</v>
      </c>
      <c r="BF5" s="199" t="s">
        <v>29</v>
      </c>
      <c r="BG5" s="199" t="s">
        <v>29</v>
      </c>
      <c r="BH5" s="199" t="s">
        <v>29</v>
      </c>
      <c r="BI5" s="199" t="s">
        <v>29</v>
      </c>
      <c r="BJ5" s="199" t="s">
        <v>29</v>
      </c>
      <c r="BK5" s="199" t="s">
        <v>29</v>
      </c>
      <c r="BL5" s="199" t="s">
        <v>29</v>
      </c>
      <c r="BM5" s="199" t="s">
        <v>29</v>
      </c>
      <c r="BN5" s="199" t="s">
        <v>29</v>
      </c>
      <c r="BO5" s="199" t="s">
        <v>29</v>
      </c>
      <c r="BP5" s="199" t="s">
        <v>29</v>
      </c>
      <c r="BQ5" s="193"/>
      <c r="BR5" s="187">
        <v>10000</v>
      </c>
      <c r="BS5" s="202">
        <v>251000</v>
      </c>
      <c r="BT5" s="199">
        <v>110000</v>
      </c>
      <c r="BU5" s="192" t="s">
        <v>193</v>
      </c>
      <c r="BV5" s="192" t="s">
        <v>97</v>
      </c>
      <c r="BW5" s="192">
        <v>1</v>
      </c>
      <c r="BX5" s="192" t="s">
        <v>466</v>
      </c>
      <c r="BY5" s="192" t="s">
        <v>746</v>
      </c>
      <c r="BZ5" s="192" t="s">
        <v>489</v>
      </c>
      <c r="CA5" s="192">
        <v>500</v>
      </c>
      <c r="CB5" s="192" t="s">
        <v>488</v>
      </c>
      <c r="CC5" s="192" t="s">
        <v>101</v>
      </c>
      <c r="CD5" s="192" t="s">
        <v>97</v>
      </c>
      <c r="CE5" s="192">
        <v>10</v>
      </c>
      <c r="CF5" s="192" t="s">
        <v>134</v>
      </c>
      <c r="CG5" s="192" t="s">
        <v>451</v>
      </c>
      <c r="CH5" s="192" t="s">
        <v>97</v>
      </c>
      <c r="CI5" s="192">
        <v>200</v>
      </c>
      <c r="CJ5" s="192" t="s">
        <v>137</v>
      </c>
      <c r="CK5" s="192" t="s">
        <v>452</v>
      </c>
      <c r="CL5" s="192" t="s">
        <v>416</v>
      </c>
      <c r="CM5" s="192">
        <v>500</v>
      </c>
      <c r="CN5" s="192" t="s">
        <v>733</v>
      </c>
      <c r="CO5" s="192" t="s">
        <v>161</v>
      </c>
      <c r="CP5" s="192" t="s">
        <v>97</v>
      </c>
      <c r="CQ5" s="192">
        <v>5</v>
      </c>
      <c r="CR5" s="192" t="s">
        <v>466</v>
      </c>
      <c r="CS5" s="192" t="s">
        <v>747</v>
      </c>
      <c r="CT5" s="192" t="s">
        <v>489</v>
      </c>
      <c r="CU5" s="192">
        <v>200</v>
      </c>
      <c r="CV5" s="192" t="s">
        <v>488</v>
      </c>
      <c r="CW5" s="192" t="s">
        <v>748</v>
      </c>
      <c r="CX5" s="192" t="s">
        <v>749</v>
      </c>
      <c r="CY5" s="192">
        <v>500</v>
      </c>
      <c r="CZ5" s="192" t="s">
        <v>730</v>
      </c>
      <c r="DA5" s="192" t="s">
        <v>316</v>
      </c>
      <c r="DB5" s="192" t="s">
        <v>316</v>
      </c>
      <c r="DC5" s="192" t="s">
        <v>316</v>
      </c>
      <c r="DD5" s="192" t="s">
        <v>316</v>
      </c>
      <c r="DE5" s="192" t="s">
        <v>316</v>
      </c>
      <c r="DF5" s="192" t="s">
        <v>316</v>
      </c>
      <c r="DG5" s="192" t="s">
        <v>316</v>
      </c>
      <c r="DH5" s="192" t="s">
        <v>316</v>
      </c>
      <c r="DI5" s="192" t="s">
        <v>316</v>
      </c>
      <c r="DJ5" s="192" t="s">
        <v>316</v>
      </c>
      <c r="DK5" s="192" t="s">
        <v>316</v>
      </c>
      <c r="DL5" s="192" t="s">
        <v>316</v>
      </c>
      <c r="DM5" s="192" t="s">
        <v>316</v>
      </c>
      <c r="DN5" s="192" t="s">
        <v>316</v>
      </c>
      <c r="DO5" s="192" t="s">
        <v>316</v>
      </c>
      <c r="DP5" s="192" t="s">
        <v>316</v>
      </c>
      <c r="DQ5" s="192" t="s">
        <v>316</v>
      </c>
      <c r="DR5" s="192" t="s">
        <v>316</v>
      </c>
      <c r="DS5" s="192" t="s">
        <v>316</v>
      </c>
      <c r="DT5" s="192" t="s">
        <v>316</v>
      </c>
      <c r="DU5" s="192" t="s">
        <v>316</v>
      </c>
      <c r="DV5" s="192" t="s">
        <v>316</v>
      </c>
      <c r="DW5" s="192" t="s">
        <v>316</v>
      </c>
      <c r="DX5" s="192" t="s">
        <v>316</v>
      </c>
      <c r="DY5" s="192" t="s">
        <v>316</v>
      </c>
      <c r="DZ5" s="192" t="s">
        <v>316</v>
      </c>
      <c r="EA5" s="192" t="s">
        <v>316</v>
      </c>
      <c r="EB5" s="192" t="s">
        <v>316</v>
      </c>
      <c r="EC5" s="192" t="s">
        <v>29</v>
      </c>
      <c r="ED5" s="192" t="s">
        <v>29</v>
      </c>
      <c r="EE5" s="192" t="s">
        <v>29</v>
      </c>
      <c r="EF5" s="192" t="s">
        <v>29</v>
      </c>
      <c r="EG5" s="192" t="s">
        <v>29</v>
      </c>
      <c r="EH5" s="192" t="s">
        <v>29</v>
      </c>
      <c r="EI5" s="192" t="s">
        <v>29</v>
      </c>
      <c r="EJ5" s="192" t="s">
        <v>29</v>
      </c>
      <c r="EK5" s="192" t="s">
        <v>29</v>
      </c>
      <c r="EL5" s="192" t="s">
        <v>29</v>
      </c>
      <c r="EM5" s="192" t="s">
        <v>29</v>
      </c>
      <c r="EN5" s="192" t="s">
        <v>29</v>
      </c>
    </row>
    <row r="6" spans="1:146" ht="15">
      <c r="A6" s="187" t="str">
        <f t="shared" si="0"/>
        <v>MIZPP00526551918A</v>
      </c>
      <c r="B6" s="197" t="s">
        <v>510</v>
      </c>
      <c r="C6" s="198" t="s">
        <v>226</v>
      </c>
      <c r="D6" s="199" t="s">
        <v>1083</v>
      </c>
      <c r="E6" s="199">
        <v>26551918</v>
      </c>
      <c r="F6" s="199" t="s">
        <v>593</v>
      </c>
      <c r="G6" s="187"/>
      <c r="H6" s="198"/>
      <c r="I6" s="187"/>
      <c r="J6" s="187"/>
      <c r="K6" s="187"/>
      <c r="L6" s="200"/>
      <c r="M6" s="199" t="s">
        <v>593</v>
      </c>
      <c r="N6" s="198"/>
      <c r="O6" s="200"/>
      <c r="P6" s="198"/>
      <c r="Q6" s="199" t="s">
        <v>268</v>
      </c>
      <c r="R6" s="187"/>
      <c r="S6" s="198"/>
      <c r="T6" s="198"/>
      <c r="U6" s="187"/>
      <c r="V6" s="187"/>
      <c r="W6" s="187"/>
      <c r="X6" s="187"/>
      <c r="Y6" s="199" t="s">
        <v>539</v>
      </c>
      <c r="Z6" s="201">
        <v>100000</v>
      </c>
      <c r="AA6" s="201">
        <v>0</v>
      </c>
      <c r="AB6" s="193">
        <f t="shared" si="1"/>
        <v>100000</v>
      </c>
      <c r="AC6" s="201">
        <v>30000</v>
      </c>
      <c r="AD6" s="201">
        <v>0</v>
      </c>
      <c r="AE6" s="193">
        <f t="shared" si="2"/>
        <v>30000</v>
      </c>
      <c r="AF6" s="201">
        <v>0</v>
      </c>
      <c r="AG6" s="196"/>
      <c r="AH6" s="187"/>
      <c r="AI6" s="187"/>
      <c r="AJ6" s="187"/>
      <c r="AK6" s="193">
        <f t="shared" si="3"/>
        <v>0</v>
      </c>
      <c r="AL6" s="199" t="s">
        <v>29</v>
      </c>
      <c r="AM6" s="199" t="s">
        <v>29</v>
      </c>
      <c r="AN6" s="199" t="s">
        <v>29</v>
      </c>
      <c r="AO6" s="199" t="s">
        <v>29</v>
      </c>
      <c r="AP6" s="193"/>
      <c r="AQ6" s="201">
        <v>0</v>
      </c>
      <c r="AR6" s="201">
        <v>0</v>
      </c>
      <c r="AS6" s="201">
        <v>0</v>
      </c>
      <c r="AT6" s="201">
        <v>0</v>
      </c>
      <c r="AU6" s="201">
        <v>0</v>
      </c>
      <c r="AV6" s="201">
        <v>0</v>
      </c>
      <c r="AW6" s="201">
        <v>0</v>
      </c>
      <c r="AX6" s="201">
        <v>0</v>
      </c>
      <c r="AY6" s="199" t="s">
        <v>641</v>
      </c>
      <c r="AZ6" s="199">
        <v>100000</v>
      </c>
      <c r="BA6" s="199" t="s">
        <v>96</v>
      </c>
      <c r="BB6" s="199">
        <v>60000</v>
      </c>
      <c r="BC6" s="199" t="s">
        <v>29</v>
      </c>
      <c r="BD6" s="199" t="s">
        <v>29</v>
      </c>
      <c r="BE6" s="199" t="s">
        <v>29</v>
      </c>
      <c r="BF6" s="199" t="s">
        <v>29</v>
      </c>
      <c r="BG6" s="199" t="s">
        <v>29</v>
      </c>
      <c r="BH6" s="199" t="s">
        <v>29</v>
      </c>
      <c r="BI6" s="199" t="s">
        <v>29</v>
      </c>
      <c r="BJ6" s="199" t="s">
        <v>29</v>
      </c>
      <c r="BK6" s="199" t="s">
        <v>29</v>
      </c>
      <c r="BL6" s="199" t="s">
        <v>29</v>
      </c>
      <c r="BM6" s="199" t="s">
        <v>29</v>
      </c>
      <c r="BN6" s="199" t="s">
        <v>29</v>
      </c>
      <c r="BO6" s="199" t="s">
        <v>29</v>
      </c>
      <c r="BP6" s="199" t="s">
        <v>29</v>
      </c>
      <c r="BQ6" s="193"/>
      <c r="BR6" s="187">
        <v>10000</v>
      </c>
      <c r="BS6" s="202">
        <v>300000</v>
      </c>
      <c r="BT6" s="199">
        <v>552413</v>
      </c>
      <c r="BU6" s="192" t="s">
        <v>750</v>
      </c>
      <c r="BV6" s="192" t="s">
        <v>97</v>
      </c>
      <c r="BW6" s="192">
        <v>6</v>
      </c>
      <c r="BX6" s="192" t="s">
        <v>137</v>
      </c>
      <c r="BY6" s="192" t="s">
        <v>751</v>
      </c>
      <c r="BZ6" s="192" t="s">
        <v>416</v>
      </c>
      <c r="CA6" s="192">
        <v>9000</v>
      </c>
      <c r="CB6" s="192" t="s">
        <v>733</v>
      </c>
      <c r="CC6" s="192" t="s">
        <v>752</v>
      </c>
      <c r="CD6" s="192" t="s">
        <v>97</v>
      </c>
      <c r="CE6" s="192">
        <v>2</v>
      </c>
      <c r="CF6" s="192" t="s">
        <v>133</v>
      </c>
      <c r="CG6" s="192" t="s">
        <v>753</v>
      </c>
      <c r="CH6" s="192" t="s">
        <v>735</v>
      </c>
      <c r="CI6" s="192">
        <v>200</v>
      </c>
      <c r="CJ6" s="192" t="s">
        <v>423</v>
      </c>
      <c r="CK6" s="192" t="s">
        <v>754</v>
      </c>
      <c r="CL6" s="192" t="s">
        <v>97</v>
      </c>
      <c r="CM6" s="192">
        <v>15</v>
      </c>
      <c r="CN6" s="192" t="s">
        <v>134</v>
      </c>
      <c r="CO6" s="192" t="s">
        <v>755</v>
      </c>
      <c r="CP6" s="192" t="s">
        <v>749</v>
      </c>
      <c r="CQ6" s="192">
        <v>10000</v>
      </c>
      <c r="CR6" s="192" t="s">
        <v>730</v>
      </c>
      <c r="CS6" s="192" t="s">
        <v>756</v>
      </c>
      <c r="CT6" s="192" t="s">
        <v>97</v>
      </c>
      <c r="CU6" s="192">
        <v>4</v>
      </c>
      <c r="CV6" s="192" t="s">
        <v>133</v>
      </c>
      <c r="CW6" s="192" t="s">
        <v>316</v>
      </c>
      <c r="CX6" s="192" t="s">
        <v>316</v>
      </c>
      <c r="CY6" s="192" t="s">
        <v>316</v>
      </c>
      <c r="CZ6" s="192" t="s">
        <v>316</v>
      </c>
      <c r="DA6" s="192" t="s">
        <v>316</v>
      </c>
      <c r="DB6" s="192" t="s">
        <v>316</v>
      </c>
      <c r="DC6" s="192" t="s">
        <v>316</v>
      </c>
      <c r="DD6" s="192" t="s">
        <v>316</v>
      </c>
      <c r="DE6" s="192" t="s">
        <v>316</v>
      </c>
      <c r="DF6" s="192" t="s">
        <v>316</v>
      </c>
      <c r="DG6" s="192" t="s">
        <v>316</v>
      </c>
      <c r="DH6" s="192" t="s">
        <v>316</v>
      </c>
      <c r="DI6" s="192" t="s">
        <v>316</v>
      </c>
      <c r="DJ6" s="192" t="s">
        <v>316</v>
      </c>
      <c r="DK6" s="192" t="s">
        <v>316</v>
      </c>
      <c r="DL6" s="192" t="s">
        <v>316</v>
      </c>
      <c r="DM6" s="192" t="s">
        <v>316</v>
      </c>
      <c r="DN6" s="192" t="s">
        <v>316</v>
      </c>
      <c r="DO6" s="192" t="s">
        <v>316</v>
      </c>
      <c r="DP6" s="192" t="s">
        <v>316</v>
      </c>
      <c r="DQ6" s="192" t="s">
        <v>316</v>
      </c>
      <c r="DR6" s="192" t="s">
        <v>316</v>
      </c>
      <c r="DS6" s="192" t="s">
        <v>316</v>
      </c>
      <c r="DT6" s="192" t="s">
        <v>316</v>
      </c>
      <c r="DU6" s="192" t="s">
        <v>316</v>
      </c>
      <c r="DV6" s="192" t="s">
        <v>316</v>
      </c>
      <c r="DW6" s="192" t="s">
        <v>316</v>
      </c>
      <c r="DX6" s="192" t="s">
        <v>316</v>
      </c>
      <c r="DY6" s="192" t="s">
        <v>316</v>
      </c>
      <c r="DZ6" s="192" t="s">
        <v>316</v>
      </c>
      <c r="EA6" s="192" t="s">
        <v>316</v>
      </c>
      <c r="EB6" s="192" t="s">
        <v>316</v>
      </c>
      <c r="EC6" s="192" t="s">
        <v>29</v>
      </c>
      <c r="ED6" s="192" t="s">
        <v>29</v>
      </c>
      <c r="EE6" s="192" t="s">
        <v>29</v>
      </c>
      <c r="EF6" s="192" t="s">
        <v>29</v>
      </c>
      <c r="EG6" s="192" t="s">
        <v>29</v>
      </c>
      <c r="EH6" s="192" t="s">
        <v>29</v>
      </c>
      <c r="EI6" s="192" t="s">
        <v>29</v>
      </c>
      <c r="EJ6" s="192" t="s">
        <v>29</v>
      </c>
      <c r="EK6" s="192" t="s">
        <v>29</v>
      </c>
      <c r="EL6" s="192" t="s">
        <v>29</v>
      </c>
      <c r="EM6" s="192" t="s">
        <v>29</v>
      </c>
      <c r="EN6" s="192" t="s">
        <v>29</v>
      </c>
    </row>
    <row r="7" spans="1:146" ht="15">
      <c r="A7" s="187" t="str">
        <f t="shared" si="0"/>
        <v>MIZPP00719357427A</v>
      </c>
      <c r="B7" s="197" t="s">
        <v>167</v>
      </c>
      <c r="C7" s="198" t="s">
        <v>226</v>
      </c>
      <c r="D7" s="199" t="s">
        <v>1080</v>
      </c>
      <c r="E7" s="199">
        <v>19357427</v>
      </c>
      <c r="F7" s="199" t="s">
        <v>594</v>
      </c>
      <c r="G7" s="187"/>
      <c r="H7" s="198"/>
      <c r="I7" s="187"/>
      <c r="J7" s="187"/>
      <c r="K7" s="187"/>
      <c r="L7" s="200"/>
      <c r="M7" s="199" t="s">
        <v>594</v>
      </c>
      <c r="N7" s="198"/>
      <c r="O7" s="200"/>
      <c r="P7" s="198"/>
      <c r="Q7" s="199" t="s">
        <v>620</v>
      </c>
      <c r="R7" s="187"/>
      <c r="S7" s="198"/>
      <c r="T7" s="198"/>
      <c r="U7" s="187"/>
      <c r="V7" s="187"/>
      <c r="W7" s="187"/>
      <c r="X7" s="187"/>
      <c r="Y7" s="199" t="s">
        <v>540</v>
      </c>
      <c r="Z7" s="201">
        <v>120000</v>
      </c>
      <c r="AA7" s="201">
        <v>0</v>
      </c>
      <c r="AB7" s="193">
        <f t="shared" si="1"/>
        <v>120000</v>
      </c>
      <c r="AC7" s="201">
        <v>5000</v>
      </c>
      <c r="AD7" s="201">
        <v>0</v>
      </c>
      <c r="AE7" s="193">
        <f t="shared" si="2"/>
        <v>5000</v>
      </c>
      <c r="AF7" s="201">
        <v>5000</v>
      </c>
      <c r="AG7" s="196"/>
      <c r="AH7" s="187"/>
      <c r="AI7" s="187"/>
      <c r="AJ7" s="187"/>
      <c r="AK7" s="193">
        <f t="shared" si="3"/>
        <v>5000</v>
      </c>
      <c r="AL7" s="199" t="s">
        <v>29</v>
      </c>
      <c r="AM7" s="199" t="s">
        <v>29</v>
      </c>
      <c r="AN7" s="199" t="s">
        <v>29</v>
      </c>
      <c r="AO7" s="199" t="s">
        <v>29</v>
      </c>
      <c r="AP7" s="193"/>
      <c r="AQ7" s="201">
        <v>0</v>
      </c>
      <c r="AR7" s="201">
        <v>0</v>
      </c>
      <c r="AS7" s="201">
        <v>0</v>
      </c>
      <c r="AT7" s="201">
        <v>0</v>
      </c>
      <c r="AU7" s="201">
        <v>1000</v>
      </c>
      <c r="AV7" s="201">
        <v>0</v>
      </c>
      <c r="AW7" s="201">
        <v>0</v>
      </c>
      <c r="AX7" s="201">
        <v>0</v>
      </c>
      <c r="AY7" s="199" t="s">
        <v>642</v>
      </c>
      <c r="AZ7" s="199">
        <v>0</v>
      </c>
      <c r="BA7" s="199" t="s">
        <v>29</v>
      </c>
      <c r="BB7" s="199" t="s">
        <v>29</v>
      </c>
      <c r="BC7" s="199" t="s">
        <v>29</v>
      </c>
      <c r="BD7" s="199" t="s">
        <v>29</v>
      </c>
      <c r="BE7" s="199" t="s">
        <v>29</v>
      </c>
      <c r="BF7" s="199" t="s">
        <v>29</v>
      </c>
      <c r="BG7" s="199" t="s">
        <v>29</v>
      </c>
      <c r="BH7" s="199" t="s">
        <v>29</v>
      </c>
      <c r="BI7" s="199" t="s">
        <v>29</v>
      </c>
      <c r="BJ7" s="199" t="s">
        <v>29</v>
      </c>
      <c r="BK7" s="199" t="s">
        <v>29</v>
      </c>
      <c r="BL7" s="199" t="s">
        <v>29</v>
      </c>
      <c r="BM7" s="199" t="s">
        <v>29</v>
      </c>
      <c r="BN7" s="199" t="s">
        <v>29</v>
      </c>
      <c r="BO7" s="199" t="s">
        <v>29</v>
      </c>
      <c r="BP7" s="199" t="s">
        <v>29</v>
      </c>
      <c r="BQ7" s="193"/>
      <c r="BR7" s="187">
        <v>0</v>
      </c>
      <c r="BS7" s="202">
        <v>131000</v>
      </c>
      <c r="BT7" s="199">
        <v>77000</v>
      </c>
      <c r="BU7" s="192" t="s">
        <v>757</v>
      </c>
      <c r="BV7" s="192" t="s">
        <v>97</v>
      </c>
      <c r="BW7" s="192">
        <v>24</v>
      </c>
      <c r="BX7" s="192" t="s">
        <v>134</v>
      </c>
      <c r="BY7" s="192" t="s">
        <v>758</v>
      </c>
      <c r="BZ7" s="192" t="s">
        <v>729</v>
      </c>
      <c r="CA7" s="192">
        <v>12000</v>
      </c>
      <c r="CB7" s="192" t="s">
        <v>758</v>
      </c>
      <c r="CC7" s="192" t="s">
        <v>759</v>
      </c>
      <c r="CD7" s="192" t="s">
        <v>97</v>
      </c>
      <c r="CE7" s="192">
        <v>12</v>
      </c>
      <c r="CF7" s="192" t="s">
        <v>466</v>
      </c>
      <c r="CG7" s="192" t="s">
        <v>760</v>
      </c>
      <c r="CH7" s="192" t="s">
        <v>489</v>
      </c>
      <c r="CI7" s="192">
        <v>120</v>
      </c>
      <c r="CJ7" s="192" t="s">
        <v>488</v>
      </c>
      <c r="CK7" s="192" t="s">
        <v>761</v>
      </c>
      <c r="CL7" s="192" t="s">
        <v>97</v>
      </c>
      <c r="CM7" s="192">
        <v>1</v>
      </c>
      <c r="CN7" s="192" t="s">
        <v>137</v>
      </c>
      <c r="CO7" s="192" t="s">
        <v>438</v>
      </c>
      <c r="CP7" s="192" t="s">
        <v>416</v>
      </c>
      <c r="CQ7" s="192">
        <v>200</v>
      </c>
      <c r="CR7" s="192" t="s">
        <v>733</v>
      </c>
      <c r="CS7" s="192" t="s">
        <v>762</v>
      </c>
      <c r="CT7" s="192" t="s">
        <v>97</v>
      </c>
      <c r="CU7" s="192">
        <v>12</v>
      </c>
      <c r="CV7" s="192" t="s">
        <v>133</v>
      </c>
      <c r="CW7" s="192" t="s">
        <v>139</v>
      </c>
      <c r="CX7" s="192" t="s">
        <v>144</v>
      </c>
      <c r="CY7" s="192">
        <v>1</v>
      </c>
      <c r="CZ7" s="192" t="s">
        <v>139</v>
      </c>
      <c r="DA7" s="192" t="s">
        <v>726</v>
      </c>
      <c r="DB7" s="192" t="s">
        <v>725</v>
      </c>
      <c r="DC7" s="192">
        <v>50</v>
      </c>
      <c r="DD7" s="192" t="s">
        <v>726</v>
      </c>
      <c r="DE7" s="192" t="s">
        <v>316</v>
      </c>
      <c r="DF7" s="192" t="s">
        <v>316</v>
      </c>
      <c r="DG7" s="192" t="s">
        <v>316</v>
      </c>
      <c r="DH7" s="192" t="s">
        <v>316</v>
      </c>
      <c r="DI7" s="192" t="s">
        <v>316</v>
      </c>
      <c r="DJ7" s="192" t="s">
        <v>316</v>
      </c>
      <c r="DK7" s="192" t="s">
        <v>316</v>
      </c>
      <c r="DL7" s="192" t="s">
        <v>316</v>
      </c>
      <c r="DM7" s="192" t="s">
        <v>316</v>
      </c>
      <c r="DN7" s="192" t="s">
        <v>316</v>
      </c>
      <c r="DO7" s="192" t="s">
        <v>316</v>
      </c>
      <c r="DP7" s="192" t="s">
        <v>316</v>
      </c>
      <c r="DQ7" s="192" t="s">
        <v>316</v>
      </c>
      <c r="DR7" s="192" t="s">
        <v>316</v>
      </c>
      <c r="DS7" s="192" t="s">
        <v>316</v>
      </c>
      <c r="DT7" s="192" t="s">
        <v>316</v>
      </c>
      <c r="DU7" s="192" t="s">
        <v>316</v>
      </c>
      <c r="DV7" s="192" t="s">
        <v>316</v>
      </c>
      <c r="DW7" s="192" t="s">
        <v>316</v>
      </c>
      <c r="DX7" s="192" t="s">
        <v>316</v>
      </c>
      <c r="DY7" s="192" t="s">
        <v>316</v>
      </c>
      <c r="DZ7" s="192" t="s">
        <v>316</v>
      </c>
      <c r="EA7" s="192" t="s">
        <v>316</v>
      </c>
      <c r="EB7" s="192" t="s">
        <v>316</v>
      </c>
      <c r="EC7" s="192" t="s">
        <v>29</v>
      </c>
      <c r="ED7" s="192" t="s">
        <v>29</v>
      </c>
      <c r="EE7" s="192" t="s">
        <v>29</v>
      </c>
      <c r="EF7" s="192" t="s">
        <v>29</v>
      </c>
      <c r="EG7" s="192" t="s">
        <v>29</v>
      </c>
      <c r="EH7" s="192" t="s">
        <v>29</v>
      </c>
      <c r="EI7" s="192" t="s">
        <v>29</v>
      </c>
      <c r="EJ7" s="192" t="s">
        <v>29</v>
      </c>
      <c r="EK7" s="192" t="s">
        <v>29</v>
      </c>
      <c r="EL7" s="192" t="s">
        <v>29</v>
      </c>
      <c r="EM7" s="192" t="s">
        <v>29</v>
      </c>
      <c r="EN7" s="192" t="s">
        <v>29</v>
      </c>
    </row>
    <row r="8" spans="1:146" ht="15">
      <c r="A8" s="187" t="str">
        <f t="shared" si="0"/>
        <v>MIZPP01222821651A</v>
      </c>
      <c r="B8" s="197" t="s">
        <v>228</v>
      </c>
      <c r="C8" s="198" t="s">
        <v>226</v>
      </c>
      <c r="D8" s="199" t="s">
        <v>1084</v>
      </c>
      <c r="E8" s="199">
        <v>22821651</v>
      </c>
      <c r="F8" s="199" t="s">
        <v>595</v>
      </c>
      <c r="G8" s="187"/>
      <c r="H8" s="198"/>
      <c r="I8" s="187"/>
      <c r="J8" s="187"/>
      <c r="K8" s="187"/>
      <c r="L8" s="200"/>
      <c r="M8" s="199" t="s">
        <v>595</v>
      </c>
      <c r="N8" s="198"/>
      <c r="O8" s="200"/>
      <c r="P8" s="198"/>
      <c r="Q8" s="199" t="s">
        <v>267</v>
      </c>
      <c r="R8" s="187"/>
      <c r="S8" s="198"/>
      <c r="T8" s="198"/>
      <c r="U8" s="187"/>
      <c r="V8" s="187"/>
      <c r="W8" s="187"/>
      <c r="X8" s="187"/>
      <c r="Y8" s="199" t="s">
        <v>541</v>
      </c>
      <c r="Z8" s="201">
        <v>153976.9</v>
      </c>
      <c r="AA8" s="201">
        <v>49140</v>
      </c>
      <c r="AB8" s="193">
        <f t="shared" si="1"/>
        <v>203116.9</v>
      </c>
      <c r="AC8" s="201">
        <v>50430</v>
      </c>
      <c r="AD8" s="201">
        <v>0</v>
      </c>
      <c r="AE8" s="193">
        <f t="shared" si="2"/>
        <v>50430</v>
      </c>
      <c r="AF8" s="201">
        <v>700</v>
      </c>
      <c r="AG8" s="196"/>
      <c r="AH8" s="187"/>
      <c r="AI8" s="187"/>
      <c r="AJ8" s="187"/>
      <c r="AK8" s="193">
        <f t="shared" si="3"/>
        <v>700</v>
      </c>
      <c r="AL8" s="199" t="s">
        <v>29</v>
      </c>
      <c r="AM8" s="199" t="s">
        <v>29</v>
      </c>
      <c r="AN8" s="199" t="s">
        <v>29</v>
      </c>
      <c r="AO8" s="199" t="s">
        <v>29</v>
      </c>
      <c r="AP8" s="193"/>
      <c r="AQ8" s="201">
        <v>0</v>
      </c>
      <c r="AR8" s="201">
        <v>10500</v>
      </c>
      <c r="AS8" s="201">
        <v>0</v>
      </c>
      <c r="AT8" s="201">
        <v>0</v>
      </c>
      <c r="AU8" s="201">
        <v>14000</v>
      </c>
      <c r="AV8" s="201">
        <v>0</v>
      </c>
      <c r="AW8" s="201">
        <v>10500</v>
      </c>
      <c r="AX8" s="201">
        <v>0</v>
      </c>
      <c r="AY8" s="199" t="s">
        <v>643</v>
      </c>
      <c r="AZ8" s="199">
        <v>9000</v>
      </c>
      <c r="BA8" s="199" t="s">
        <v>29</v>
      </c>
      <c r="BB8" s="199" t="s">
        <v>29</v>
      </c>
      <c r="BC8" s="199" t="s">
        <v>29</v>
      </c>
      <c r="BD8" s="199" t="s">
        <v>29</v>
      </c>
      <c r="BE8" s="199" t="s">
        <v>29</v>
      </c>
      <c r="BF8" s="199" t="s">
        <v>29</v>
      </c>
      <c r="BG8" s="199" t="s">
        <v>29</v>
      </c>
      <c r="BH8" s="199" t="s">
        <v>29</v>
      </c>
      <c r="BI8" s="199" t="s">
        <v>29</v>
      </c>
      <c r="BJ8" s="199" t="s">
        <v>29</v>
      </c>
      <c r="BK8" s="199" t="s">
        <v>29</v>
      </c>
      <c r="BL8" s="199" t="s">
        <v>29</v>
      </c>
      <c r="BM8" s="199" t="s">
        <v>29</v>
      </c>
      <c r="BN8" s="199" t="s">
        <v>29</v>
      </c>
      <c r="BO8" s="199" t="s">
        <v>29</v>
      </c>
      <c r="BP8" s="199" t="s">
        <v>29</v>
      </c>
      <c r="BQ8" s="193"/>
      <c r="BR8" s="187">
        <v>0</v>
      </c>
      <c r="BS8" s="202">
        <v>298246.90000000002</v>
      </c>
      <c r="BT8" s="199">
        <v>127820.09999999998</v>
      </c>
      <c r="BU8" s="192" t="s">
        <v>763</v>
      </c>
      <c r="BV8" s="192" t="s">
        <v>97</v>
      </c>
      <c r="BW8" s="192">
        <v>12</v>
      </c>
      <c r="BX8" s="192" t="s">
        <v>137</v>
      </c>
      <c r="BY8" s="192" t="s">
        <v>764</v>
      </c>
      <c r="BZ8" s="192" t="s">
        <v>416</v>
      </c>
      <c r="CA8" s="192">
        <v>4000</v>
      </c>
      <c r="CB8" s="192" t="s">
        <v>733</v>
      </c>
      <c r="CC8" s="192" t="s">
        <v>765</v>
      </c>
      <c r="CD8" s="192" t="s">
        <v>97</v>
      </c>
      <c r="CE8" s="192">
        <v>12</v>
      </c>
      <c r="CF8" s="192" t="s">
        <v>134</v>
      </c>
      <c r="CG8" s="192" t="s">
        <v>758</v>
      </c>
      <c r="CH8" s="192" t="s">
        <v>729</v>
      </c>
      <c r="CI8" s="192">
        <v>4000</v>
      </c>
      <c r="CJ8" s="192" t="s">
        <v>758</v>
      </c>
      <c r="CK8" s="192" t="s">
        <v>766</v>
      </c>
      <c r="CL8" s="192" t="s">
        <v>97</v>
      </c>
      <c r="CM8" s="192">
        <v>3</v>
      </c>
      <c r="CN8" s="192" t="s">
        <v>137</v>
      </c>
      <c r="CO8" s="192" t="s">
        <v>431</v>
      </c>
      <c r="CP8" s="192" t="s">
        <v>416</v>
      </c>
      <c r="CQ8" s="192">
        <v>2400</v>
      </c>
      <c r="CR8" s="192" t="s">
        <v>733</v>
      </c>
      <c r="CS8" s="192" t="s">
        <v>437</v>
      </c>
      <c r="CT8" s="192" t="s">
        <v>97</v>
      </c>
      <c r="CU8" s="192">
        <v>1</v>
      </c>
      <c r="CV8" s="192" t="s">
        <v>137</v>
      </c>
      <c r="CW8" s="192" t="s">
        <v>767</v>
      </c>
      <c r="CX8" s="192" t="s">
        <v>416</v>
      </c>
      <c r="CY8" s="192">
        <v>4000</v>
      </c>
      <c r="CZ8" s="192" t="s">
        <v>733</v>
      </c>
      <c r="DA8" s="192" t="s">
        <v>316</v>
      </c>
      <c r="DB8" s="192" t="s">
        <v>316</v>
      </c>
      <c r="DC8" s="192" t="s">
        <v>316</v>
      </c>
      <c r="DD8" s="192" t="s">
        <v>316</v>
      </c>
      <c r="DE8" s="192" t="s">
        <v>316</v>
      </c>
      <c r="DF8" s="192" t="s">
        <v>316</v>
      </c>
      <c r="DG8" s="192" t="s">
        <v>316</v>
      </c>
      <c r="DH8" s="192" t="s">
        <v>316</v>
      </c>
      <c r="DI8" s="192" t="s">
        <v>316</v>
      </c>
      <c r="DJ8" s="192" t="s">
        <v>316</v>
      </c>
      <c r="DK8" s="192" t="s">
        <v>316</v>
      </c>
      <c r="DL8" s="192" t="s">
        <v>316</v>
      </c>
      <c r="DM8" s="192" t="s">
        <v>316</v>
      </c>
      <c r="DN8" s="192" t="s">
        <v>316</v>
      </c>
      <c r="DO8" s="192" t="s">
        <v>316</v>
      </c>
      <c r="DP8" s="192" t="s">
        <v>316</v>
      </c>
      <c r="DQ8" s="192" t="s">
        <v>316</v>
      </c>
      <c r="DR8" s="192" t="s">
        <v>316</v>
      </c>
      <c r="DS8" s="192" t="s">
        <v>316</v>
      </c>
      <c r="DT8" s="192" t="s">
        <v>316</v>
      </c>
      <c r="DU8" s="192" t="s">
        <v>316</v>
      </c>
      <c r="DV8" s="192" t="s">
        <v>316</v>
      </c>
      <c r="DW8" s="192" t="s">
        <v>316</v>
      </c>
      <c r="DX8" s="192" t="s">
        <v>316</v>
      </c>
      <c r="DY8" s="192" t="s">
        <v>316</v>
      </c>
      <c r="DZ8" s="192" t="s">
        <v>316</v>
      </c>
      <c r="EA8" s="192" t="s">
        <v>316</v>
      </c>
      <c r="EB8" s="192" t="s">
        <v>316</v>
      </c>
      <c r="EC8" s="192" t="s">
        <v>29</v>
      </c>
      <c r="ED8" s="192" t="s">
        <v>29</v>
      </c>
      <c r="EE8" s="192" t="s">
        <v>29</v>
      </c>
      <c r="EF8" s="192" t="s">
        <v>29</v>
      </c>
      <c r="EG8" s="192" t="s">
        <v>29</v>
      </c>
      <c r="EH8" s="192" t="s">
        <v>29</v>
      </c>
      <c r="EI8" s="192" t="s">
        <v>29</v>
      </c>
      <c r="EJ8" s="192" t="s">
        <v>29</v>
      </c>
      <c r="EK8" s="192" t="s">
        <v>29</v>
      </c>
      <c r="EL8" s="192" t="s">
        <v>29</v>
      </c>
      <c r="EM8" s="192" t="s">
        <v>29</v>
      </c>
      <c r="EN8" s="192" t="s">
        <v>29</v>
      </c>
    </row>
    <row r="9" spans="1:146" ht="15">
      <c r="A9" s="187" t="str">
        <f t="shared" si="0"/>
        <v>MIZPP01322743731A</v>
      </c>
      <c r="B9" s="197" t="s">
        <v>512</v>
      </c>
      <c r="C9" s="198" t="s">
        <v>226</v>
      </c>
      <c r="D9" s="199" t="s">
        <v>1082</v>
      </c>
      <c r="E9" s="199">
        <v>22743731</v>
      </c>
      <c r="F9" s="199" t="s">
        <v>254</v>
      </c>
      <c r="G9" s="187"/>
      <c r="H9" s="198"/>
      <c r="I9" s="187"/>
      <c r="J9" s="187"/>
      <c r="K9" s="187"/>
      <c r="L9" s="200"/>
      <c r="M9" s="199" t="s">
        <v>254</v>
      </c>
      <c r="N9" s="198"/>
      <c r="O9" s="200"/>
      <c r="P9" s="198"/>
      <c r="Q9" s="199" t="s">
        <v>272</v>
      </c>
      <c r="R9" s="187"/>
      <c r="S9" s="198"/>
      <c r="T9" s="198"/>
      <c r="U9" s="187"/>
      <c r="V9" s="187"/>
      <c r="W9" s="187"/>
      <c r="X9" s="187"/>
      <c r="Y9" s="199" t="s">
        <v>542</v>
      </c>
      <c r="Z9" s="201">
        <v>0</v>
      </c>
      <c r="AA9" s="201">
        <v>120000</v>
      </c>
      <c r="AB9" s="193">
        <f t="shared" si="1"/>
        <v>120000</v>
      </c>
      <c r="AC9" s="201">
        <v>40000</v>
      </c>
      <c r="AD9" s="201">
        <v>0</v>
      </c>
      <c r="AE9" s="193">
        <f t="shared" si="2"/>
        <v>40000</v>
      </c>
      <c r="AF9" s="201">
        <v>10000</v>
      </c>
      <c r="AG9" s="196"/>
      <c r="AH9" s="187"/>
      <c r="AI9" s="187"/>
      <c r="AJ9" s="187"/>
      <c r="AK9" s="193">
        <f t="shared" si="3"/>
        <v>10000</v>
      </c>
      <c r="AL9" s="199" t="s">
        <v>29</v>
      </c>
      <c r="AM9" s="199" t="s">
        <v>29</v>
      </c>
      <c r="AN9" s="199" t="s">
        <v>29</v>
      </c>
      <c r="AO9" s="199" t="s">
        <v>29</v>
      </c>
      <c r="AP9" s="193"/>
      <c r="AQ9" s="201">
        <v>3000</v>
      </c>
      <c r="AR9" s="201">
        <v>0</v>
      </c>
      <c r="AS9" s="201">
        <v>6000</v>
      </c>
      <c r="AT9" s="201">
        <v>0</v>
      </c>
      <c r="AU9" s="201">
        <v>5000</v>
      </c>
      <c r="AV9" s="201">
        <v>100000</v>
      </c>
      <c r="AW9" s="201">
        <v>1000</v>
      </c>
      <c r="AX9" s="201">
        <v>0</v>
      </c>
      <c r="AY9" s="199" t="s">
        <v>644</v>
      </c>
      <c r="AZ9" s="199">
        <v>15000</v>
      </c>
      <c r="BA9" s="199" t="s">
        <v>645</v>
      </c>
      <c r="BB9" s="199">
        <v>0</v>
      </c>
      <c r="BC9" s="199" t="s">
        <v>646</v>
      </c>
      <c r="BD9" s="199">
        <v>0</v>
      </c>
      <c r="BE9" s="199" t="s">
        <v>647</v>
      </c>
      <c r="BF9" s="199">
        <v>0</v>
      </c>
      <c r="BG9" s="199" t="s">
        <v>29</v>
      </c>
      <c r="BH9" s="199" t="s">
        <v>29</v>
      </c>
      <c r="BI9" s="199" t="s">
        <v>29</v>
      </c>
      <c r="BJ9" s="199" t="s">
        <v>29</v>
      </c>
      <c r="BK9" s="199" t="s">
        <v>29</v>
      </c>
      <c r="BL9" s="199" t="s">
        <v>29</v>
      </c>
      <c r="BM9" s="199" t="s">
        <v>29</v>
      </c>
      <c r="BN9" s="199" t="s">
        <v>29</v>
      </c>
      <c r="BO9" s="199" t="s">
        <v>29</v>
      </c>
      <c r="BP9" s="199" t="s">
        <v>29</v>
      </c>
      <c r="BQ9" s="193"/>
      <c r="BR9" s="187">
        <v>0</v>
      </c>
      <c r="BS9" s="202">
        <v>300000</v>
      </c>
      <c r="BT9" s="199">
        <v>806000</v>
      </c>
      <c r="BU9" s="192" t="s">
        <v>768</v>
      </c>
      <c r="BV9" s="192" t="s">
        <v>97</v>
      </c>
      <c r="BW9" s="192">
        <v>1</v>
      </c>
      <c r="BX9" s="192" t="s">
        <v>466</v>
      </c>
      <c r="BY9" s="192" t="s">
        <v>769</v>
      </c>
      <c r="BZ9" s="192" t="s">
        <v>489</v>
      </c>
      <c r="CA9" s="192">
        <v>220</v>
      </c>
      <c r="CB9" s="192" t="s">
        <v>488</v>
      </c>
      <c r="CC9" s="192" t="s">
        <v>770</v>
      </c>
      <c r="CD9" s="192" t="s">
        <v>97</v>
      </c>
      <c r="CE9" s="192">
        <v>8</v>
      </c>
      <c r="CF9" s="192" t="s">
        <v>134</v>
      </c>
      <c r="CG9" s="192" t="s">
        <v>771</v>
      </c>
      <c r="CH9" s="192" t="s">
        <v>749</v>
      </c>
      <c r="CI9" s="192">
        <v>1000</v>
      </c>
      <c r="CJ9" s="192" t="s">
        <v>730</v>
      </c>
      <c r="CK9" s="192" t="s">
        <v>772</v>
      </c>
      <c r="CL9" s="192" t="s">
        <v>97</v>
      </c>
      <c r="CM9" s="192">
        <v>2</v>
      </c>
      <c r="CN9" s="192" t="s">
        <v>137</v>
      </c>
      <c r="CO9" s="192" t="s">
        <v>773</v>
      </c>
      <c r="CP9" s="192" t="s">
        <v>416</v>
      </c>
      <c r="CQ9" s="192">
        <v>500</v>
      </c>
      <c r="CR9" s="192" t="s">
        <v>733</v>
      </c>
      <c r="CS9" s="192" t="s">
        <v>774</v>
      </c>
      <c r="CT9" s="192" t="s">
        <v>144</v>
      </c>
      <c r="CU9" s="192">
        <v>5</v>
      </c>
      <c r="CV9" s="192" t="s">
        <v>139</v>
      </c>
      <c r="CW9" s="192" t="s">
        <v>775</v>
      </c>
      <c r="CX9" s="192" t="s">
        <v>725</v>
      </c>
      <c r="CY9" s="192">
        <v>100</v>
      </c>
      <c r="CZ9" s="192" t="s">
        <v>726</v>
      </c>
      <c r="DA9" s="192" t="s">
        <v>316</v>
      </c>
      <c r="DB9" s="192" t="s">
        <v>316</v>
      </c>
      <c r="DC9" s="192" t="s">
        <v>316</v>
      </c>
      <c r="DD9" s="192" t="s">
        <v>316</v>
      </c>
      <c r="DE9" s="192" t="s">
        <v>316</v>
      </c>
      <c r="DF9" s="192" t="s">
        <v>316</v>
      </c>
      <c r="DG9" s="192" t="s">
        <v>316</v>
      </c>
      <c r="DH9" s="192" t="s">
        <v>316</v>
      </c>
      <c r="DI9" s="192" t="s">
        <v>316</v>
      </c>
      <c r="DJ9" s="192" t="s">
        <v>316</v>
      </c>
      <c r="DK9" s="192" t="s">
        <v>316</v>
      </c>
      <c r="DL9" s="192" t="s">
        <v>316</v>
      </c>
      <c r="DM9" s="192" t="s">
        <v>316</v>
      </c>
      <c r="DN9" s="192" t="s">
        <v>316</v>
      </c>
      <c r="DO9" s="192" t="s">
        <v>316</v>
      </c>
      <c r="DP9" s="192" t="s">
        <v>316</v>
      </c>
      <c r="DQ9" s="192" t="s">
        <v>316</v>
      </c>
      <c r="DR9" s="192" t="s">
        <v>316</v>
      </c>
      <c r="DS9" s="192" t="s">
        <v>316</v>
      </c>
      <c r="DT9" s="192" t="s">
        <v>316</v>
      </c>
      <c r="DU9" s="192" t="s">
        <v>316</v>
      </c>
      <c r="DV9" s="192" t="s">
        <v>316</v>
      </c>
      <c r="DW9" s="192" t="s">
        <v>316</v>
      </c>
      <c r="DX9" s="192" t="s">
        <v>316</v>
      </c>
      <c r="DY9" s="192" t="s">
        <v>316</v>
      </c>
      <c r="DZ9" s="192" t="s">
        <v>316</v>
      </c>
      <c r="EA9" s="192" t="s">
        <v>316</v>
      </c>
      <c r="EB9" s="192" t="s">
        <v>316</v>
      </c>
      <c r="EC9" s="192" t="s">
        <v>29</v>
      </c>
      <c r="ED9" s="192" t="s">
        <v>29</v>
      </c>
      <c r="EE9" s="192" t="s">
        <v>29</v>
      </c>
      <c r="EF9" s="192" t="s">
        <v>29</v>
      </c>
      <c r="EG9" s="192" t="s">
        <v>29</v>
      </c>
      <c r="EH9" s="192" t="s">
        <v>29</v>
      </c>
      <c r="EI9" s="192" t="s">
        <v>29</v>
      </c>
      <c r="EJ9" s="192" t="s">
        <v>29</v>
      </c>
      <c r="EK9" s="192" t="s">
        <v>29</v>
      </c>
      <c r="EL9" s="192" t="s">
        <v>29</v>
      </c>
      <c r="EM9" s="192" t="s">
        <v>29</v>
      </c>
      <c r="EN9" s="192" t="s">
        <v>29</v>
      </c>
    </row>
    <row r="10" spans="1:146" ht="15">
      <c r="A10" s="187" t="str">
        <f t="shared" si="0"/>
        <v>MIZPP01445246220A</v>
      </c>
      <c r="B10" s="197" t="s">
        <v>229</v>
      </c>
      <c r="C10" s="198" t="s">
        <v>226</v>
      </c>
      <c r="D10" s="199" t="s">
        <v>1085</v>
      </c>
      <c r="E10" s="199">
        <v>45246220</v>
      </c>
      <c r="F10" s="199" t="s">
        <v>596</v>
      </c>
      <c r="G10" s="187"/>
      <c r="H10" s="198"/>
      <c r="I10" s="187"/>
      <c r="J10" s="187"/>
      <c r="K10" s="187"/>
      <c r="L10" s="200"/>
      <c r="M10" s="199" t="s">
        <v>596</v>
      </c>
      <c r="N10" s="198"/>
      <c r="O10" s="200"/>
      <c r="P10" s="198"/>
      <c r="Q10" s="199" t="s">
        <v>271</v>
      </c>
      <c r="R10" s="187"/>
      <c r="S10" s="198"/>
      <c r="T10" s="198"/>
      <c r="U10" s="187"/>
      <c r="V10" s="187"/>
      <c r="W10" s="187"/>
      <c r="X10" s="187"/>
      <c r="Y10" s="199" t="s">
        <v>543</v>
      </c>
      <c r="Z10" s="201">
        <v>223834</v>
      </c>
      <c r="AA10" s="201">
        <v>0</v>
      </c>
      <c r="AB10" s="193">
        <f t="shared" si="1"/>
        <v>223834</v>
      </c>
      <c r="AC10" s="201">
        <v>0</v>
      </c>
      <c r="AD10" s="201">
        <v>0</v>
      </c>
      <c r="AE10" s="193">
        <f t="shared" si="2"/>
        <v>0</v>
      </c>
      <c r="AF10" s="201">
        <v>566</v>
      </c>
      <c r="AG10" s="196"/>
      <c r="AH10" s="187"/>
      <c r="AI10" s="187"/>
      <c r="AJ10" s="187"/>
      <c r="AK10" s="193">
        <f t="shared" si="3"/>
        <v>566</v>
      </c>
      <c r="AL10" s="199" t="s">
        <v>29</v>
      </c>
      <c r="AM10" s="199" t="s">
        <v>29</v>
      </c>
      <c r="AN10" s="199" t="s">
        <v>29</v>
      </c>
      <c r="AO10" s="199" t="s">
        <v>29</v>
      </c>
      <c r="AP10" s="193"/>
      <c r="AQ10" s="201">
        <v>0</v>
      </c>
      <c r="AR10" s="201">
        <v>9600</v>
      </c>
      <c r="AS10" s="201">
        <v>0</v>
      </c>
      <c r="AT10" s="201">
        <v>30000</v>
      </c>
      <c r="AU10" s="201">
        <v>18000</v>
      </c>
      <c r="AV10" s="201">
        <v>0</v>
      </c>
      <c r="AW10" s="201">
        <v>0</v>
      </c>
      <c r="AX10" s="201">
        <v>0</v>
      </c>
      <c r="AY10" s="199" t="s">
        <v>637</v>
      </c>
      <c r="AZ10" s="199">
        <v>0</v>
      </c>
      <c r="BA10" s="199" t="s">
        <v>29</v>
      </c>
      <c r="BB10" s="199" t="s">
        <v>29</v>
      </c>
      <c r="BC10" s="199" t="s">
        <v>29</v>
      </c>
      <c r="BD10" s="199" t="s">
        <v>29</v>
      </c>
      <c r="BE10" s="199" t="s">
        <v>29</v>
      </c>
      <c r="BF10" s="199" t="s">
        <v>29</v>
      </c>
      <c r="BG10" s="199" t="s">
        <v>29</v>
      </c>
      <c r="BH10" s="199" t="s">
        <v>29</v>
      </c>
      <c r="BI10" s="199" t="s">
        <v>29</v>
      </c>
      <c r="BJ10" s="199" t="s">
        <v>29</v>
      </c>
      <c r="BK10" s="199" t="s">
        <v>29</v>
      </c>
      <c r="BL10" s="199" t="s">
        <v>29</v>
      </c>
      <c r="BM10" s="199" t="s">
        <v>29</v>
      </c>
      <c r="BN10" s="199" t="s">
        <v>29</v>
      </c>
      <c r="BO10" s="199" t="s">
        <v>29</v>
      </c>
      <c r="BP10" s="199" t="s">
        <v>29</v>
      </c>
      <c r="BQ10" s="193"/>
      <c r="BR10" s="187">
        <v>18000</v>
      </c>
      <c r="BS10" s="202">
        <v>300000</v>
      </c>
      <c r="BT10" s="199">
        <v>416571</v>
      </c>
      <c r="BU10" s="192" t="s">
        <v>776</v>
      </c>
      <c r="BV10" s="192" t="s">
        <v>777</v>
      </c>
      <c r="BW10" s="192">
        <v>1</v>
      </c>
      <c r="BX10" s="192" t="s">
        <v>138</v>
      </c>
      <c r="BY10" s="192" t="s">
        <v>778</v>
      </c>
      <c r="BZ10" s="192" t="s">
        <v>489</v>
      </c>
      <c r="CA10" s="192">
        <v>1311</v>
      </c>
      <c r="CB10" s="192" t="s">
        <v>418</v>
      </c>
      <c r="CC10" s="192" t="s">
        <v>779</v>
      </c>
      <c r="CD10" s="192" t="s">
        <v>97</v>
      </c>
      <c r="CE10" s="192">
        <v>1</v>
      </c>
      <c r="CF10" s="192" t="s">
        <v>137</v>
      </c>
      <c r="CG10" s="192" t="s">
        <v>780</v>
      </c>
      <c r="CH10" s="192" t="s">
        <v>416</v>
      </c>
      <c r="CI10" s="192">
        <v>5000</v>
      </c>
      <c r="CJ10" s="192" t="s">
        <v>733</v>
      </c>
      <c r="CK10" s="192" t="s">
        <v>781</v>
      </c>
      <c r="CL10" s="192" t="s">
        <v>735</v>
      </c>
      <c r="CM10" s="192">
        <v>15</v>
      </c>
      <c r="CN10" s="192" t="s">
        <v>423</v>
      </c>
      <c r="CO10" s="192" t="s">
        <v>782</v>
      </c>
      <c r="CP10" s="192" t="s">
        <v>97</v>
      </c>
      <c r="CQ10" s="192">
        <v>1</v>
      </c>
      <c r="CR10" s="192" t="s">
        <v>137</v>
      </c>
      <c r="CS10" s="192" t="s">
        <v>783</v>
      </c>
      <c r="CT10" s="192" t="s">
        <v>416</v>
      </c>
      <c r="CU10" s="192">
        <v>6000</v>
      </c>
      <c r="CV10" s="192" t="s">
        <v>733</v>
      </c>
      <c r="CW10" s="192" t="s">
        <v>784</v>
      </c>
      <c r="CX10" s="192" t="s">
        <v>97</v>
      </c>
      <c r="CY10" s="192">
        <v>4</v>
      </c>
      <c r="CZ10" s="192" t="s">
        <v>137</v>
      </c>
      <c r="DA10" s="192" t="s">
        <v>785</v>
      </c>
      <c r="DB10" s="192" t="s">
        <v>416</v>
      </c>
      <c r="DC10" s="192">
        <v>2318</v>
      </c>
      <c r="DD10" s="192" t="s">
        <v>733</v>
      </c>
      <c r="DE10" s="192" t="s">
        <v>786</v>
      </c>
      <c r="DF10" s="192" t="s">
        <v>97</v>
      </c>
      <c r="DG10" s="192">
        <v>3</v>
      </c>
      <c r="DH10" s="192" t="s">
        <v>133</v>
      </c>
      <c r="DI10" s="192" t="s">
        <v>101</v>
      </c>
      <c r="DJ10" s="192" t="s">
        <v>97</v>
      </c>
      <c r="DK10" s="192">
        <v>10</v>
      </c>
      <c r="DL10" s="192" t="s">
        <v>134</v>
      </c>
      <c r="DM10" s="192" t="s">
        <v>787</v>
      </c>
      <c r="DN10" s="192" t="s">
        <v>749</v>
      </c>
      <c r="DO10" s="192">
        <v>1000</v>
      </c>
      <c r="DP10" s="192" t="s">
        <v>730</v>
      </c>
      <c r="DQ10" s="192" t="s">
        <v>316</v>
      </c>
      <c r="DR10" s="192" t="s">
        <v>316</v>
      </c>
      <c r="DS10" s="192" t="s">
        <v>316</v>
      </c>
      <c r="DT10" s="192" t="s">
        <v>316</v>
      </c>
      <c r="DU10" s="192" t="s">
        <v>316</v>
      </c>
      <c r="DV10" s="192" t="s">
        <v>316</v>
      </c>
      <c r="DW10" s="192" t="s">
        <v>316</v>
      </c>
      <c r="DX10" s="192" t="s">
        <v>316</v>
      </c>
      <c r="DY10" s="192" t="s">
        <v>316</v>
      </c>
      <c r="DZ10" s="192" t="s">
        <v>316</v>
      </c>
      <c r="EA10" s="192" t="s">
        <v>316</v>
      </c>
      <c r="EB10" s="192" t="s">
        <v>316</v>
      </c>
      <c r="EC10" s="192" t="s">
        <v>29</v>
      </c>
      <c r="ED10" s="192" t="s">
        <v>29</v>
      </c>
      <c r="EE10" s="192" t="s">
        <v>29</v>
      </c>
      <c r="EF10" s="192" t="s">
        <v>29</v>
      </c>
      <c r="EG10" s="192" t="s">
        <v>29</v>
      </c>
      <c r="EH10" s="192" t="s">
        <v>29</v>
      </c>
      <c r="EI10" s="192" t="s">
        <v>29</v>
      </c>
      <c r="EJ10" s="192" t="s">
        <v>29</v>
      </c>
      <c r="EK10" s="192" t="s">
        <v>29</v>
      </c>
      <c r="EL10" s="192" t="s">
        <v>29</v>
      </c>
      <c r="EM10" s="192" t="s">
        <v>29</v>
      </c>
      <c r="EN10" s="192" t="s">
        <v>29</v>
      </c>
    </row>
    <row r="11" spans="1:146" ht="15">
      <c r="A11" s="187" t="str">
        <f t="shared" si="0"/>
        <v>MIZPP01700116670A</v>
      </c>
      <c r="B11" s="197" t="s">
        <v>513</v>
      </c>
      <c r="C11" s="198" t="s">
        <v>226</v>
      </c>
      <c r="D11" s="199" t="s">
        <v>1086</v>
      </c>
      <c r="E11" s="197" t="s">
        <v>248</v>
      </c>
      <c r="F11" s="199" t="s">
        <v>597</v>
      </c>
      <c r="G11" s="187"/>
      <c r="H11" s="198"/>
      <c r="I11" s="187"/>
      <c r="J11" s="187"/>
      <c r="K11" s="187"/>
      <c r="L11" s="200"/>
      <c r="M11" s="199" t="s">
        <v>597</v>
      </c>
      <c r="N11" s="198"/>
      <c r="O11" s="200"/>
      <c r="P11" s="198"/>
      <c r="Q11" s="199" t="s">
        <v>265</v>
      </c>
      <c r="R11" s="187"/>
      <c r="S11" s="198"/>
      <c r="T11" s="198"/>
      <c r="U11" s="187"/>
      <c r="V11" s="187"/>
      <c r="W11" s="187"/>
      <c r="X11" s="187"/>
      <c r="Y11" s="199" t="s">
        <v>544</v>
      </c>
      <c r="Z11" s="201">
        <v>168000</v>
      </c>
      <c r="AA11" s="201">
        <v>8000</v>
      </c>
      <c r="AB11" s="193">
        <f t="shared" si="1"/>
        <v>176000</v>
      </c>
      <c r="AC11" s="201">
        <v>13000</v>
      </c>
      <c r="AD11" s="201">
        <v>0</v>
      </c>
      <c r="AE11" s="193">
        <f t="shared" si="2"/>
        <v>13000</v>
      </c>
      <c r="AF11" s="201">
        <v>14000</v>
      </c>
      <c r="AG11" s="196"/>
      <c r="AH11" s="187"/>
      <c r="AI11" s="187"/>
      <c r="AJ11" s="187"/>
      <c r="AK11" s="193">
        <f t="shared" si="3"/>
        <v>14000</v>
      </c>
      <c r="AL11" s="199" t="s">
        <v>29</v>
      </c>
      <c r="AM11" s="199" t="s">
        <v>29</v>
      </c>
      <c r="AN11" s="199" t="s">
        <v>29</v>
      </c>
      <c r="AO11" s="199" t="s">
        <v>29</v>
      </c>
      <c r="AP11" s="193"/>
      <c r="AQ11" s="201">
        <v>6000</v>
      </c>
      <c r="AR11" s="201">
        <v>0</v>
      </c>
      <c r="AS11" s="201">
        <v>0</v>
      </c>
      <c r="AT11" s="201">
        <v>6000</v>
      </c>
      <c r="AU11" s="201">
        <v>4000</v>
      </c>
      <c r="AV11" s="201">
        <v>0</v>
      </c>
      <c r="AW11" s="201">
        <v>0</v>
      </c>
      <c r="AX11" s="201">
        <v>0</v>
      </c>
      <c r="AY11" s="199" t="s">
        <v>648</v>
      </c>
      <c r="AZ11" s="199">
        <v>10000</v>
      </c>
      <c r="BA11" s="199" t="s">
        <v>649</v>
      </c>
      <c r="BB11" s="199">
        <v>12000</v>
      </c>
      <c r="BC11" s="199" t="s">
        <v>650</v>
      </c>
      <c r="BD11" s="199">
        <v>9000</v>
      </c>
      <c r="BE11" s="199" t="s">
        <v>651</v>
      </c>
      <c r="BF11" s="199">
        <v>12000</v>
      </c>
      <c r="BG11" s="199" t="s">
        <v>29</v>
      </c>
      <c r="BH11" s="199" t="s">
        <v>29</v>
      </c>
      <c r="BI11" s="199" t="s">
        <v>29</v>
      </c>
      <c r="BJ11" s="199" t="s">
        <v>29</v>
      </c>
      <c r="BK11" s="199" t="s">
        <v>29</v>
      </c>
      <c r="BL11" s="199" t="s">
        <v>29</v>
      </c>
      <c r="BM11" s="199" t="s">
        <v>29</v>
      </c>
      <c r="BN11" s="199" t="s">
        <v>29</v>
      </c>
      <c r="BO11" s="199" t="s">
        <v>29</v>
      </c>
      <c r="BP11" s="199" t="s">
        <v>29</v>
      </c>
      <c r="BQ11" s="193"/>
      <c r="BR11" s="187">
        <v>35000</v>
      </c>
      <c r="BS11" s="202">
        <v>297000</v>
      </c>
      <c r="BT11" s="199">
        <v>199000</v>
      </c>
      <c r="BU11" s="192" t="s">
        <v>435</v>
      </c>
      <c r="BV11" s="192" t="s">
        <v>97</v>
      </c>
      <c r="BW11" s="192">
        <v>32</v>
      </c>
      <c r="BX11" s="192" t="s">
        <v>466</v>
      </c>
      <c r="BY11" s="192" t="s">
        <v>788</v>
      </c>
      <c r="BZ11" s="192" t="s">
        <v>489</v>
      </c>
      <c r="CA11" s="192">
        <v>640</v>
      </c>
      <c r="CB11" s="192" t="s">
        <v>488</v>
      </c>
      <c r="CC11" s="192" t="s">
        <v>789</v>
      </c>
      <c r="CD11" s="192" t="s">
        <v>97</v>
      </c>
      <c r="CE11" s="192">
        <v>10</v>
      </c>
      <c r="CF11" s="192" t="s">
        <v>466</v>
      </c>
      <c r="CG11" s="192" t="s">
        <v>790</v>
      </c>
      <c r="CH11" s="192" t="s">
        <v>489</v>
      </c>
      <c r="CI11" s="192">
        <v>120</v>
      </c>
      <c r="CJ11" s="192" t="s">
        <v>488</v>
      </c>
      <c r="CK11" s="192" t="s">
        <v>791</v>
      </c>
      <c r="CL11" s="192" t="s">
        <v>97</v>
      </c>
      <c r="CM11" s="192">
        <v>6</v>
      </c>
      <c r="CN11" s="192" t="s">
        <v>466</v>
      </c>
      <c r="CO11" s="192" t="s">
        <v>792</v>
      </c>
      <c r="CP11" s="192" t="s">
        <v>489</v>
      </c>
      <c r="CQ11" s="192">
        <v>90</v>
      </c>
      <c r="CR11" s="192" t="s">
        <v>488</v>
      </c>
      <c r="CS11" s="192" t="s">
        <v>793</v>
      </c>
      <c r="CT11" s="192" t="s">
        <v>97</v>
      </c>
      <c r="CU11" s="192">
        <v>8</v>
      </c>
      <c r="CV11" s="192" t="s">
        <v>466</v>
      </c>
      <c r="CW11" s="192" t="s">
        <v>794</v>
      </c>
      <c r="CX11" s="192" t="s">
        <v>489</v>
      </c>
      <c r="CY11" s="192">
        <v>120</v>
      </c>
      <c r="CZ11" s="192" t="s">
        <v>488</v>
      </c>
      <c r="DA11" s="192" t="s">
        <v>795</v>
      </c>
      <c r="DB11" s="192" t="s">
        <v>97</v>
      </c>
      <c r="DC11" s="192">
        <v>6</v>
      </c>
      <c r="DD11" s="192" t="s">
        <v>466</v>
      </c>
      <c r="DE11" s="192" t="s">
        <v>796</v>
      </c>
      <c r="DF11" s="192" t="s">
        <v>489</v>
      </c>
      <c r="DG11" s="192">
        <v>96</v>
      </c>
      <c r="DH11" s="192" t="s">
        <v>488</v>
      </c>
      <c r="DI11" s="192" t="s">
        <v>316</v>
      </c>
      <c r="DJ11" s="192" t="s">
        <v>316</v>
      </c>
      <c r="DK11" s="192" t="s">
        <v>316</v>
      </c>
      <c r="DL11" s="192" t="s">
        <v>316</v>
      </c>
      <c r="DM11" s="192" t="s">
        <v>316</v>
      </c>
      <c r="DN11" s="192" t="s">
        <v>316</v>
      </c>
      <c r="DO11" s="192" t="s">
        <v>316</v>
      </c>
      <c r="DP11" s="192" t="s">
        <v>316</v>
      </c>
      <c r="DQ11" s="192" t="s">
        <v>316</v>
      </c>
      <c r="DR11" s="192" t="s">
        <v>316</v>
      </c>
      <c r="DS11" s="192" t="s">
        <v>316</v>
      </c>
      <c r="DT11" s="192" t="s">
        <v>316</v>
      </c>
      <c r="DU11" s="192" t="s">
        <v>316</v>
      </c>
      <c r="DV11" s="192" t="s">
        <v>316</v>
      </c>
      <c r="DW11" s="192" t="s">
        <v>316</v>
      </c>
      <c r="DX11" s="192" t="s">
        <v>316</v>
      </c>
      <c r="DY11" s="192" t="s">
        <v>316</v>
      </c>
      <c r="DZ11" s="192" t="s">
        <v>316</v>
      </c>
      <c r="EA11" s="192" t="s">
        <v>316</v>
      </c>
      <c r="EB11" s="192" t="s">
        <v>316</v>
      </c>
      <c r="EC11" s="192" t="s">
        <v>29</v>
      </c>
      <c r="ED11" s="192" t="s">
        <v>29</v>
      </c>
      <c r="EE11" s="192" t="s">
        <v>29</v>
      </c>
      <c r="EF11" s="192" t="s">
        <v>29</v>
      </c>
      <c r="EG11" s="192" t="s">
        <v>29</v>
      </c>
      <c r="EH11" s="192" t="s">
        <v>29</v>
      </c>
      <c r="EI11" s="192" t="s">
        <v>29</v>
      </c>
      <c r="EJ11" s="192" t="s">
        <v>29</v>
      </c>
      <c r="EK11" s="192" t="s">
        <v>29</v>
      </c>
      <c r="EL11" s="192" t="s">
        <v>29</v>
      </c>
      <c r="EM11" s="192" t="s">
        <v>29</v>
      </c>
      <c r="EN11" s="192" t="s">
        <v>29</v>
      </c>
    </row>
    <row r="12" spans="1:146" ht="15">
      <c r="A12" s="187" t="str">
        <f t="shared" si="0"/>
        <v>MIZPP01900116670A</v>
      </c>
      <c r="B12" s="197" t="s">
        <v>230</v>
      </c>
      <c r="C12" s="198" t="s">
        <v>226</v>
      </c>
      <c r="D12" s="199" t="s">
        <v>1086</v>
      </c>
      <c r="E12" s="197" t="s">
        <v>248</v>
      </c>
      <c r="F12" s="199" t="s">
        <v>597</v>
      </c>
      <c r="G12" s="187"/>
      <c r="H12" s="198"/>
      <c r="I12" s="187"/>
      <c r="J12" s="187"/>
      <c r="K12" s="187"/>
      <c r="L12" s="200"/>
      <c r="M12" s="199" t="s">
        <v>597</v>
      </c>
      <c r="N12" s="198"/>
      <c r="O12" s="200"/>
      <c r="P12" s="198"/>
      <c r="Q12" s="199" t="s">
        <v>265</v>
      </c>
      <c r="R12" s="187"/>
      <c r="S12" s="198"/>
      <c r="T12" s="198"/>
      <c r="U12" s="187"/>
      <c r="V12" s="187"/>
      <c r="W12" s="187"/>
      <c r="X12" s="187"/>
      <c r="Y12" s="199" t="s">
        <v>545</v>
      </c>
      <c r="Z12" s="201">
        <v>132000</v>
      </c>
      <c r="AA12" s="201">
        <v>18000</v>
      </c>
      <c r="AB12" s="193">
        <f t="shared" si="1"/>
        <v>150000</v>
      </c>
      <c r="AC12" s="201">
        <v>7000</v>
      </c>
      <c r="AD12" s="201">
        <v>0</v>
      </c>
      <c r="AE12" s="193">
        <f t="shared" si="2"/>
        <v>7000</v>
      </c>
      <c r="AF12" s="201">
        <v>25000</v>
      </c>
      <c r="AG12" s="196"/>
      <c r="AH12" s="187"/>
      <c r="AI12" s="187"/>
      <c r="AJ12" s="187"/>
      <c r="AK12" s="193">
        <f t="shared" si="3"/>
        <v>25000</v>
      </c>
      <c r="AL12" s="199" t="s">
        <v>29</v>
      </c>
      <c r="AM12" s="199" t="s">
        <v>29</v>
      </c>
      <c r="AN12" s="199" t="s">
        <v>29</v>
      </c>
      <c r="AO12" s="199" t="s">
        <v>29</v>
      </c>
      <c r="AP12" s="193"/>
      <c r="AQ12" s="201">
        <v>5000</v>
      </c>
      <c r="AR12" s="201">
        <v>0</v>
      </c>
      <c r="AS12" s="201">
        <v>0</v>
      </c>
      <c r="AT12" s="201">
        <v>10000</v>
      </c>
      <c r="AU12" s="201">
        <v>15000</v>
      </c>
      <c r="AV12" s="201">
        <v>0</v>
      </c>
      <c r="AW12" s="201">
        <v>0</v>
      </c>
      <c r="AX12" s="201">
        <v>0</v>
      </c>
      <c r="AY12" s="199" t="s">
        <v>652</v>
      </c>
      <c r="AZ12" s="199">
        <v>5000</v>
      </c>
      <c r="BA12" s="199" t="s">
        <v>653</v>
      </c>
      <c r="BB12" s="199">
        <v>15000</v>
      </c>
      <c r="BC12" s="199" t="s">
        <v>654</v>
      </c>
      <c r="BD12" s="199">
        <v>10000</v>
      </c>
      <c r="BE12" s="199" t="s">
        <v>655</v>
      </c>
      <c r="BF12" s="199">
        <v>9000</v>
      </c>
      <c r="BG12" s="199" t="s">
        <v>656</v>
      </c>
      <c r="BH12" s="199">
        <v>12000</v>
      </c>
      <c r="BI12" s="199" t="s">
        <v>657</v>
      </c>
      <c r="BJ12" s="199">
        <v>6000</v>
      </c>
      <c r="BK12" s="199" t="s">
        <v>658</v>
      </c>
      <c r="BL12" s="199">
        <v>8000</v>
      </c>
      <c r="BM12" s="199" t="s">
        <v>714</v>
      </c>
      <c r="BN12" s="199">
        <v>3000</v>
      </c>
      <c r="BO12" s="199" t="s">
        <v>29</v>
      </c>
      <c r="BP12" s="199" t="s">
        <v>29</v>
      </c>
      <c r="BQ12" s="193"/>
      <c r="BR12" s="187">
        <v>20000</v>
      </c>
      <c r="BS12" s="202">
        <v>300000</v>
      </c>
      <c r="BT12" s="199">
        <v>202000</v>
      </c>
      <c r="BU12" s="192" t="s">
        <v>797</v>
      </c>
      <c r="BV12" s="192" t="s">
        <v>97</v>
      </c>
      <c r="BW12" s="192">
        <v>6</v>
      </c>
      <c r="BX12" s="192" t="s">
        <v>466</v>
      </c>
      <c r="BY12" s="192" t="s">
        <v>798</v>
      </c>
      <c r="BZ12" s="192" t="s">
        <v>489</v>
      </c>
      <c r="CA12" s="192">
        <v>90</v>
      </c>
      <c r="CB12" s="192" t="s">
        <v>488</v>
      </c>
      <c r="CC12" s="192" t="s">
        <v>799</v>
      </c>
      <c r="CD12" s="192" t="s">
        <v>97</v>
      </c>
      <c r="CE12" s="192">
        <v>7</v>
      </c>
      <c r="CF12" s="192" t="s">
        <v>466</v>
      </c>
      <c r="CG12" s="192" t="s">
        <v>800</v>
      </c>
      <c r="CH12" s="192" t="s">
        <v>489</v>
      </c>
      <c r="CI12" s="192">
        <v>2000</v>
      </c>
      <c r="CJ12" s="192" t="s">
        <v>488</v>
      </c>
      <c r="CK12" s="192" t="s">
        <v>801</v>
      </c>
      <c r="CL12" s="192" t="s">
        <v>777</v>
      </c>
      <c r="CM12" s="192">
        <v>3</v>
      </c>
      <c r="CN12" s="192" t="s">
        <v>138</v>
      </c>
      <c r="CO12" s="192" t="s">
        <v>802</v>
      </c>
      <c r="CP12" s="192" t="s">
        <v>489</v>
      </c>
      <c r="CQ12" s="192">
        <v>600</v>
      </c>
      <c r="CR12" s="192" t="s">
        <v>418</v>
      </c>
      <c r="CS12" s="192" t="s">
        <v>803</v>
      </c>
      <c r="CT12" s="192" t="s">
        <v>97</v>
      </c>
      <c r="CU12" s="192">
        <v>1</v>
      </c>
      <c r="CV12" s="192" t="s">
        <v>137</v>
      </c>
      <c r="CW12" s="192" t="s">
        <v>804</v>
      </c>
      <c r="CX12" s="192" t="s">
        <v>416</v>
      </c>
      <c r="CY12" s="192">
        <v>3000</v>
      </c>
      <c r="CZ12" s="192" t="s">
        <v>733</v>
      </c>
      <c r="DA12" s="192" t="s">
        <v>316</v>
      </c>
      <c r="DB12" s="192" t="s">
        <v>316</v>
      </c>
      <c r="DC12" s="192" t="s">
        <v>316</v>
      </c>
      <c r="DD12" s="192" t="s">
        <v>316</v>
      </c>
      <c r="DE12" s="192" t="s">
        <v>316</v>
      </c>
      <c r="DF12" s="192" t="s">
        <v>316</v>
      </c>
      <c r="DG12" s="192" t="s">
        <v>316</v>
      </c>
      <c r="DH12" s="192" t="s">
        <v>316</v>
      </c>
      <c r="DI12" s="192" t="s">
        <v>316</v>
      </c>
      <c r="DJ12" s="192" t="s">
        <v>316</v>
      </c>
      <c r="DK12" s="192" t="s">
        <v>316</v>
      </c>
      <c r="DL12" s="192" t="s">
        <v>316</v>
      </c>
      <c r="DM12" s="192" t="s">
        <v>316</v>
      </c>
      <c r="DN12" s="192" t="s">
        <v>316</v>
      </c>
      <c r="DO12" s="192" t="s">
        <v>316</v>
      </c>
      <c r="DP12" s="192" t="s">
        <v>316</v>
      </c>
      <c r="DQ12" s="192" t="s">
        <v>316</v>
      </c>
      <c r="DR12" s="192" t="s">
        <v>316</v>
      </c>
      <c r="DS12" s="192" t="s">
        <v>316</v>
      </c>
      <c r="DT12" s="192" t="s">
        <v>316</v>
      </c>
      <c r="DU12" s="192" t="s">
        <v>316</v>
      </c>
      <c r="DV12" s="192" t="s">
        <v>316</v>
      </c>
      <c r="DW12" s="192" t="s">
        <v>316</v>
      </c>
      <c r="DX12" s="192" t="s">
        <v>316</v>
      </c>
      <c r="DY12" s="192" t="s">
        <v>316</v>
      </c>
      <c r="DZ12" s="192" t="s">
        <v>316</v>
      </c>
      <c r="EA12" s="192" t="s">
        <v>316</v>
      </c>
      <c r="EB12" s="192" t="s">
        <v>316</v>
      </c>
      <c r="EC12" s="192" t="s">
        <v>29</v>
      </c>
      <c r="ED12" s="192" t="s">
        <v>29</v>
      </c>
      <c r="EE12" s="192" t="s">
        <v>29</v>
      </c>
      <c r="EF12" s="192" t="s">
        <v>29</v>
      </c>
      <c r="EG12" s="192" t="s">
        <v>29</v>
      </c>
      <c r="EH12" s="192" t="s">
        <v>29</v>
      </c>
      <c r="EI12" s="192" t="s">
        <v>29</v>
      </c>
      <c r="EJ12" s="192" t="s">
        <v>29</v>
      </c>
      <c r="EK12" s="192" t="s">
        <v>29</v>
      </c>
      <c r="EL12" s="192" t="s">
        <v>29</v>
      </c>
      <c r="EM12" s="192" t="s">
        <v>29</v>
      </c>
      <c r="EN12" s="192" t="s">
        <v>29</v>
      </c>
    </row>
    <row r="13" spans="1:146" ht="15">
      <c r="A13" s="187" t="str">
        <f t="shared" si="0"/>
        <v>MIZPP02326523141A</v>
      </c>
      <c r="B13" s="197" t="s">
        <v>514</v>
      </c>
      <c r="C13" s="198" t="s">
        <v>226</v>
      </c>
      <c r="D13" s="199" t="s">
        <v>1087</v>
      </c>
      <c r="E13" s="199">
        <v>26523141</v>
      </c>
      <c r="F13" s="199" t="s">
        <v>598</v>
      </c>
      <c r="G13" s="187"/>
      <c r="H13" s="198"/>
      <c r="I13" s="187"/>
      <c r="J13" s="187"/>
      <c r="K13" s="187"/>
      <c r="L13" s="200"/>
      <c r="M13" s="199" t="s">
        <v>598</v>
      </c>
      <c r="N13" s="198"/>
      <c r="O13" s="200"/>
      <c r="P13" s="198"/>
      <c r="Q13" s="199" t="s">
        <v>622</v>
      </c>
      <c r="R13" s="187"/>
      <c r="S13" s="198"/>
      <c r="T13" s="198"/>
      <c r="U13" s="187"/>
      <c r="V13" s="187"/>
      <c r="W13" s="187"/>
      <c r="X13" s="187"/>
      <c r="Y13" s="199" t="s">
        <v>546</v>
      </c>
      <c r="Z13" s="201">
        <v>0</v>
      </c>
      <c r="AA13" s="201">
        <v>0</v>
      </c>
      <c r="AB13" s="193">
        <f t="shared" si="1"/>
        <v>0</v>
      </c>
      <c r="AC13" s="201">
        <v>0</v>
      </c>
      <c r="AD13" s="201">
        <v>0</v>
      </c>
      <c r="AE13" s="193">
        <f t="shared" si="2"/>
        <v>0</v>
      </c>
      <c r="AF13" s="201">
        <v>0</v>
      </c>
      <c r="AG13" s="196"/>
      <c r="AH13" s="187"/>
      <c r="AI13" s="187"/>
      <c r="AJ13" s="187"/>
      <c r="AK13" s="193">
        <f t="shared" si="3"/>
        <v>0</v>
      </c>
      <c r="AL13" s="199" t="s">
        <v>29</v>
      </c>
      <c r="AM13" s="199" t="s">
        <v>29</v>
      </c>
      <c r="AN13" s="199" t="s">
        <v>29</v>
      </c>
      <c r="AO13" s="199" t="s">
        <v>29</v>
      </c>
      <c r="AP13" s="193"/>
      <c r="AQ13" s="201">
        <v>6000</v>
      </c>
      <c r="AR13" s="201">
        <v>0</v>
      </c>
      <c r="AS13" s="201">
        <v>33000</v>
      </c>
      <c r="AT13" s="201">
        <v>0</v>
      </c>
      <c r="AU13" s="201">
        <v>24000</v>
      </c>
      <c r="AV13" s="201">
        <v>0</v>
      </c>
      <c r="AW13" s="201">
        <v>0</v>
      </c>
      <c r="AX13" s="201">
        <v>0</v>
      </c>
      <c r="AY13" s="199" t="s">
        <v>659</v>
      </c>
      <c r="AZ13" s="199">
        <v>38400</v>
      </c>
      <c r="BA13" s="199" t="s">
        <v>660</v>
      </c>
      <c r="BB13" s="199">
        <v>191000</v>
      </c>
      <c r="BC13" s="199" t="s">
        <v>29</v>
      </c>
      <c r="BD13" s="199" t="s">
        <v>29</v>
      </c>
      <c r="BE13" s="199" t="s">
        <v>29</v>
      </c>
      <c r="BF13" s="199" t="s">
        <v>29</v>
      </c>
      <c r="BG13" s="199" t="s">
        <v>29</v>
      </c>
      <c r="BH13" s="199" t="s">
        <v>29</v>
      </c>
      <c r="BI13" s="199" t="s">
        <v>29</v>
      </c>
      <c r="BJ13" s="199" t="s">
        <v>29</v>
      </c>
      <c r="BK13" s="199" t="s">
        <v>29</v>
      </c>
      <c r="BL13" s="199" t="s">
        <v>29</v>
      </c>
      <c r="BM13" s="199" t="s">
        <v>29</v>
      </c>
      <c r="BN13" s="199" t="s">
        <v>29</v>
      </c>
      <c r="BO13" s="199" t="s">
        <v>29</v>
      </c>
      <c r="BP13" s="199" t="s">
        <v>29</v>
      </c>
      <c r="BQ13" s="193"/>
      <c r="BR13" s="187">
        <v>0</v>
      </c>
      <c r="BS13" s="202">
        <v>292400</v>
      </c>
      <c r="BT13" s="199">
        <v>125400</v>
      </c>
      <c r="BU13" s="192" t="s">
        <v>805</v>
      </c>
      <c r="BV13" s="192" t="s">
        <v>414</v>
      </c>
      <c r="BW13" s="192">
        <v>249</v>
      </c>
      <c r="BX13" s="192" t="s">
        <v>806</v>
      </c>
      <c r="BY13" s="192" t="s">
        <v>807</v>
      </c>
      <c r="BZ13" s="192" t="s">
        <v>414</v>
      </c>
      <c r="CA13" s="192">
        <v>40</v>
      </c>
      <c r="CB13" s="192" t="s">
        <v>808</v>
      </c>
      <c r="CC13" s="192" t="s">
        <v>809</v>
      </c>
      <c r="CD13" s="192" t="s">
        <v>97</v>
      </c>
      <c r="CE13" s="192">
        <v>50</v>
      </c>
      <c r="CF13" s="192" t="s">
        <v>466</v>
      </c>
      <c r="CG13" s="192" t="s">
        <v>810</v>
      </c>
      <c r="CH13" s="192" t="s">
        <v>489</v>
      </c>
      <c r="CI13" s="192">
        <v>200</v>
      </c>
      <c r="CJ13" s="192" t="s">
        <v>488</v>
      </c>
      <c r="CK13" s="192" t="s">
        <v>811</v>
      </c>
      <c r="CL13" s="192" t="s">
        <v>97</v>
      </c>
      <c r="CM13" s="192">
        <v>30</v>
      </c>
      <c r="CN13" s="192" t="s">
        <v>134</v>
      </c>
      <c r="CO13" s="192" t="s">
        <v>812</v>
      </c>
      <c r="CP13" s="192" t="s">
        <v>749</v>
      </c>
      <c r="CQ13" s="192">
        <v>2000</v>
      </c>
      <c r="CR13" s="192" t="s">
        <v>730</v>
      </c>
      <c r="CS13" s="192" t="s">
        <v>813</v>
      </c>
      <c r="CT13" s="192" t="s">
        <v>97</v>
      </c>
      <c r="CU13" s="192">
        <v>1</v>
      </c>
      <c r="CV13" s="192" t="s">
        <v>137</v>
      </c>
      <c r="CW13" s="192" t="s">
        <v>814</v>
      </c>
      <c r="CX13" s="192" t="s">
        <v>416</v>
      </c>
      <c r="CY13" s="192">
        <v>300</v>
      </c>
      <c r="CZ13" s="192" t="s">
        <v>733</v>
      </c>
      <c r="DA13" s="192" t="s">
        <v>316</v>
      </c>
      <c r="DB13" s="192" t="s">
        <v>316</v>
      </c>
      <c r="DC13" s="192" t="s">
        <v>316</v>
      </c>
      <c r="DD13" s="192" t="s">
        <v>316</v>
      </c>
      <c r="DE13" s="192" t="s">
        <v>316</v>
      </c>
      <c r="DF13" s="192" t="s">
        <v>316</v>
      </c>
      <c r="DG13" s="192" t="s">
        <v>316</v>
      </c>
      <c r="DH13" s="192" t="s">
        <v>316</v>
      </c>
      <c r="DI13" s="192" t="s">
        <v>316</v>
      </c>
      <c r="DJ13" s="192" t="s">
        <v>316</v>
      </c>
      <c r="DK13" s="192" t="s">
        <v>316</v>
      </c>
      <c r="DL13" s="192" t="s">
        <v>316</v>
      </c>
      <c r="DM13" s="192" t="s">
        <v>316</v>
      </c>
      <c r="DN13" s="192" t="s">
        <v>316</v>
      </c>
      <c r="DO13" s="192" t="s">
        <v>316</v>
      </c>
      <c r="DP13" s="192" t="s">
        <v>316</v>
      </c>
      <c r="DQ13" s="192" t="s">
        <v>316</v>
      </c>
      <c r="DR13" s="192" t="s">
        <v>316</v>
      </c>
      <c r="DS13" s="192" t="s">
        <v>316</v>
      </c>
      <c r="DT13" s="192" t="s">
        <v>316</v>
      </c>
      <c r="DU13" s="192" t="s">
        <v>316</v>
      </c>
      <c r="DV13" s="192" t="s">
        <v>316</v>
      </c>
      <c r="DW13" s="192" t="s">
        <v>316</v>
      </c>
      <c r="DX13" s="192" t="s">
        <v>316</v>
      </c>
      <c r="DY13" s="192" t="s">
        <v>316</v>
      </c>
      <c r="DZ13" s="192" t="s">
        <v>316</v>
      </c>
      <c r="EA13" s="192" t="s">
        <v>316</v>
      </c>
      <c r="EB13" s="192" t="s">
        <v>316</v>
      </c>
      <c r="EC13" s="192" t="s">
        <v>29</v>
      </c>
      <c r="ED13" s="192" t="s">
        <v>29</v>
      </c>
      <c r="EE13" s="192" t="s">
        <v>29</v>
      </c>
      <c r="EF13" s="192" t="s">
        <v>29</v>
      </c>
      <c r="EG13" s="192" t="s">
        <v>29</v>
      </c>
      <c r="EH13" s="192" t="s">
        <v>29</v>
      </c>
      <c r="EI13" s="192" t="s">
        <v>29</v>
      </c>
      <c r="EJ13" s="192" t="s">
        <v>29</v>
      </c>
      <c r="EK13" s="192" t="s">
        <v>29</v>
      </c>
      <c r="EL13" s="192" t="s">
        <v>29</v>
      </c>
      <c r="EM13" s="192" t="s">
        <v>29</v>
      </c>
      <c r="EN13" s="192" t="s">
        <v>29</v>
      </c>
    </row>
    <row r="14" spans="1:146" ht="15">
      <c r="A14" s="187" t="str">
        <f t="shared" si="0"/>
        <v>MIZPP02549629549A</v>
      </c>
      <c r="B14" s="197" t="s">
        <v>515</v>
      </c>
      <c r="C14" s="198" t="s">
        <v>226</v>
      </c>
      <c r="D14" s="199" t="s">
        <v>1088</v>
      </c>
      <c r="E14" s="199">
        <v>49629549</v>
      </c>
      <c r="F14" s="199" t="s">
        <v>599</v>
      </c>
      <c r="G14" s="187"/>
      <c r="H14" s="198"/>
      <c r="I14" s="187"/>
      <c r="J14" s="187"/>
      <c r="K14" s="187"/>
      <c r="L14" s="200"/>
      <c r="M14" s="199" t="s">
        <v>599</v>
      </c>
      <c r="N14" s="198"/>
      <c r="O14" s="200"/>
      <c r="P14" s="198"/>
      <c r="Q14" s="199" t="s">
        <v>262</v>
      </c>
      <c r="R14" s="187"/>
      <c r="S14" s="198"/>
      <c r="T14" s="198"/>
      <c r="U14" s="187"/>
      <c r="V14" s="187"/>
      <c r="W14" s="187"/>
      <c r="X14" s="187"/>
      <c r="Y14" s="199" t="s">
        <v>547</v>
      </c>
      <c r="Z14" s="201">
        <v>160950</v>
      </c>
      <c r="AA14" s="201">
        <v>0</v>
      </c>
      <c r="AB14" s="193">
        <f t="shared" si="1"/>
        <v>160950</v>
      </c>
      <c r="AC14" s="201">
        <v>4500</v>
      </c>
      <c r="AD14" s="201">
        <v>0</v>
      </c>
      <c r="AE14" s="193">
        <f t="shared" si="2"/>
        <v>4500</v>
      </c>
      <c r="AF14" s="201">
        <v>17250</v>
      </c>
      <c r="AG14" s="196"/>
      <c r="AH14" s="187"/>
      <c r="AI14" s="187"/>
      <c r="AJ14" s="187"/>
      <c r="AK14" s="193">
        <f t="shared" si="3"/>
        <v>17250</v>
      </c>
      <c r="AL14" s="199" t="s">
        <v>718</v>
      </c>
      <c r="AM14" s="199">
        <v>27000</v>
      </c>
      <c r="AN14" s="199" t="s">
        <v>29</v>
      </c>
      <c r="AO14" s="199" t="s">
        <v>29</v>
      </c>
      <c r="AP14" s="193"/>
      <c r="AQ14" s="201">
        <v>0</v>
      </c>
      <c r="AR14" s="201">
        <v>0</v>
      </c>
      <c r="AS14" s="201">
        <v>0</v>
      </c>
      <c r="AT14" s="201">
        <v>8000</v>
      </c>
      <c r="AU14" s="201">
        <v>5700</v>
      </c>
      <c r="AV14" s="201">
        <v>20000</v>
      </c>
      <c r="AW14" s="201">
        <v>0</v>
      </c>
      <c r="AX14" s="201">
        <v>0</v>
      </c>
      <c r="AY14" s="199" t="s">
        <v>661</v>
      </c>
      <c r="AZ14" s="199">
        <v>11600</v>
      </c>
      <c r="BA14" s="199" t="s">
        <v>29</v>
      </c>
      <c r="BB14" s="199" t="s">
        <v>29</v>
      </c>
      <c r="BC14" s="199" t="s">
        <v>29</v>
      </c>
      <c r="BD14" s="199" t="s">
        <v>29</v>
      </c>
      <c r="BE14" s="199" t="s">
        <v>29</v>
      </c>
      <c r="BF14" s="199" t="s">
        <v>29</v>
      </c>
      <c r="BG14" s="199" t="s">
        <v>29</v>
      </c>
      <c r="BH14" s="199" t="s">
        <v>29</v>
      </c>
      <c r="BI14" s="199" t="s">
        <v>29</v>
      </c>
      <c r="BJ14" s="199" t="s">
        <v>29</v>
      </c>
      <c r="BK14" s="199" t="s">
        <v>29</v>
      </c>
      <c r="BL14" s="199" t="s">
        <v>29</v>
      </c>
      <c r="BM14" s="199" t="s">
        <v>29</v>
      </c>
      <c r="BN14" s="199" t="s">
        <v>29</v>
      </c>
      <c r="BO14" s="199" t="s">
        <v>29</v>
      </c>
      <c r="BP14" s="199" t="s">
        <v>29</v>
      </c>
      <c r="BQ14" s="193"/>
      <c r="BR14" s="187">
        <v>45000</v>
      </c>
      <c r="BS14" s="202">
        <v>300000</v>
      </c>
      <c r="BT14" s="199">
        <v>201800</v>
      </c>
      <c r="BU14" s="192" t="s">
        <v>815</v>
      </c>
      <c r="BV14" s="192" t="s">
        <v>777</v>
      </c>
      <c r="BW14" s="192">
        <v>3</v>
      </c>
      <c r="BX14" s="192" t="s">
        <v>138</v>
      </c>
      <c r="BY14" s="192" t="s">
        <v>816</v>
      </c>
      <c r="BZ14" s="192" t="s">
        <v>777</v>
      </c>
      <c r="CA14" s="192">
        <v>3</v>
      </c>
      <c r="CB14" s="192" t="s">
        <v>138</v>
      </c>
      <c r="CC14" s="192" t="s">
        <v>817</v>
      </c>
      <c r="CD14" s="192" t="s">
        <v>489</v>
      </c>
      <c r="CE14" s="192">
        <v>75</v>
      </c>
      <c r="CF14" s="192" t="s">
        <v>418</v>
      </c>
      <c r="CG14" s="192" t="s">
        <v>134</v>
      </c>
      <c r="CH14" s="192" t="s">
        <v>97</v>
      </c>
      <c r="CI14" s="192">
        <v>10</v>
      </c>
      <c r="CJ14" s="192" t="s">
        <v>134</v>
      </c>
      <c r="CK14" s="192" t="s">
        <v>812</v>
      </c>
      <c r="CL14" s="192" t="s">
        <v>729</v>
      </c>
      <c r="CM14" s="192">
        <v>100000</v>
      </c>
      <c r="CN14" s="192" t="s">
        <v>730</v>
      </c>
      <c r="CO14" s="192" t="s">
        <v>196</v>
      </c>
      <c r="CP14" s="192" t="s">
        <v>97</v>
      </c>
      <c r="CQ14" s="192">
        <v>2</v>
      </c>
      <c r="CR14" s="192" t="s">
        <v>133</v>
      </c>
      <c r="CS14" s="192" t="s">
        <v>316</v>
      </c>
      <c r="CT14" s="192" t="s">
        <v>316</v>
      </c>
      <c r="CU14" s="192" t="s">
        <v>316</v>
      </c>
      <c r="CV14" s="192" t="s">
        <v>316</v>
      </c>
      <c r="CW14" s="192" t="s">
        <v>316</v>
      </c>
      <c r="CX14" s="192" t="s">
        <v>316</v>
      </c>
      <c r="CY14" s="192" t="s">
        <v>316</v>
      </c>
      <c r="CZ14" s="192" t="s">
        <v>316</v>
      </c>
      <c r="DA14" s="192" t="s">
        <v>316</v>
      </c>
      <c r="DB14" s="192" t="s">
        <v>316</v>
      </c>
      <c r="DC14" s="192" t="s">
        <v>316</v>
      </c>
      <c r="DD14" s="192" t="s">
        <v>316</v>
      </c>
      <c r="DE14" s="192" t="s">
        <v>316</v>
      </c>
      <c r="DF14" s="192" t="s">
        <v>316</v>
      </c>
      <c r="DG14" s="192" t="s">
        <v>316</v>
      </c>
      <c r="DH14" s="192" t="s">
        <v>316</v>
      </c>
      <c r="DI14" s="192" t="s">
        <v>316</v>
      </c>
      <c r="DJ14" s="192" t="s">
        <v>316</v>
      </c>
      <c r="DK14" s="192" t="s">
        <v>316</v>
      </c>
      <c r="DL14" s="192" t="s">
        <v>316</v>
      </c>
      <c r="DM14" s="192" t="s">
        <v>316</v>
      </c>
      <c r="DN14" s="192" t="s">
        <v>316</v>
      </c>
      <c r="DO14" s="192" t="s">
        <v>316</v>
      </c>
      <c r="DP14" s="192" t="s">
        <v>316</v>
      </c>
      <c r="DQ14" s="192" t="s">
        <v>316</v>
      </c>
      <c r="DR14" s="192" t="s">
        <v>316</v>
      </c>
      <c r="DS14" s="192" t="s">
        <v>316</v>
      </c>
      <c r="DT14" s="192" t="s">
        <v>316</v>
      </c>
      <c r="DU14" s="192" t="s">
        <v>316</v>
      </c>
      <c r="DV14" s="192" t="s">
        <v>316</v>
      </c>
      <c r="DW14" s="192" t="s">
        <v>316</v>
      </c>
      <c r="DX14" s="192" t="s">
        <v>316</v>
      </c>
      <c r="DY14" s="192" t="s">
        <v>316</v>
      </c>
      <c r="DZ14" s="192" t="s">
        <v>316</v>
      </c>
      <c r="EA14" s="192" t="s">
        <v>316</v>
      </c>
      <c r="EB14" s="192" t="s">
        <v>316</v>
      </c>
      <c r="EC14" s="192" t="s">
        <v>29</v>
      </c>
      <c r="ED14" s="192" t="s">
        <v>29</v>
      </c>
      <c r="EE14" s="192" t="s">
        <v>29</v>
      </c>
      <c r="EF14" s="192" t="s">
        <v>29</v>
      </c>
      <c r="EG14" s="192" t="s">
        <v>29</v>
      </c>
      <c r="EH14" s="192" t="s">
        <v>29</v>
      </c>
      <c r="EI14" s="192" t="s">
        <v>29</v>
      </c>
      <c r="EJ14" s="192" t="s">
        <v>29</v>
      </c>
      <c r="EK14" s="192" t="s">
        <v>29</v>
      </c>
      <c r="EL14" s="192" t="s">
        <v>29</v>
      </c>
      <c r="EM14" s="192" t="s">
        <v>29</v>
      </c>
      <c r="EN14" s="192" t="s">
        <v>29</v>
      </c>
      <c r="EO14" s="214"/>
      <c r="EP14" s="214"/>
    </row>
    <row r="15" spans="1:146" ht="15">
      <c r="A15" s="187" t="str">
        <f t="shared" si="0"/>
        <v>MIZPP02605284171A</v>
      </c>
      <c r="B15" s="197" t="s">
        <v>516</v>
      </c>
      <c r="C15" s="198" t="s">
        <v>226</v>
      </c>
      <c r="D15" s="199" t="s">
        <v>1089</v>
      </c>
      <c r="E15" s="203" t="s">
        <v>589</v>
      </c>
      <c r="F15" s="199" t="s">
        <v>600</v>
      </c>
      <c r="G15" s="187"/>
      <c r="H15" s="198"/>
      <c r="I15" s="187"/>
      <c r="J15" s="187"/>
      <c r="K15" s="187"/>
      <c r="L15" s="200"/>
      <c r="M15" s="199" t="s">
        <v>600</v>
      </c>
      <c r="N15" s="198"/>
      <c r="O15" s="200"/>
      <c r="P15" s="198"/>
      <c r="Q15" s="199" t="s">
        <v>623</v>
      </c>
      <c r="R15" s="187"/>
      <c r="S15" s="198"/>
      <c r="T15" s="198"/>
      <c r="U15" s="187"/>
      <c r="V15" s="187"/>
      <c r="W15" s="187"/>
      <c r="X15" s="187"/>
      <c r="Y15" s="199" t="s">
        <v>548</v>
      </c>
      <c r="Z15" s="201">
        <v>240000</v>
      </c>
      <c r="AA15" s="201">
        <v>0</v>
      </c>
      <c r="AB15" s="193">
        <f t="shared" si="1"/>
        <v>240000</v>
      </c>
      <c r="AC15" s="201">
        <v>0</v>
      </c>
      <c r="AD15" s="201">
        <v>0</v>
      </c>
      <c r="AE15" s="193">
        <f t="shared" si="2"/>
        <v>0</v>
      </c>
      <c r="AF15" s="201">
        <v>10000</v>
      </c>
      <c r="AG15" s="196"/>
      <c r="AH15" s="187"/>
      <c r="AI15" s="187"/>
      <c r="AJ15" s="187"/>
      <c r="AK15" s="193">
        <f t="shared" si="3"/>
        <v>10000</v>
      </c>
      <c r="AL15" s="199" t="s">
        <v>29</v>
      </c>
      <c r="AM15" s="199" t="s">
        <v>29</v>
      </c>
      <c r="AN15" s="199" t="s">
        <v>29</v>
      </c>
      <c r="AO15" s="199" t="s">
        <v>29</v>
      </c>
      <c r="AP15" s="193"/>
      <c r="AQ15" s="201">
        <v>0</v>
      </c>
      <c r="AR15" s="201">
        <v>30000</v>
      </c>
      <c r="AS15" s="201">
        <v>10000</v>
      </c>
      <c r="AT15" s="201">
        <v>10000</v>
      </c>
      <c r="AU15" s="201">
        <v>0</v>
      </c>
      <c r="AV15" s="201">
        <v>0</v>
      </c>
      <c r="AW15" s="201">
        <v>0</v>
      </c>
      <c r="AX15" s="201">
        <v>0</v>
      </c>
      <c r="AY15" s="199" t="s">
        <v>637</v>
      </c>
      <c r="AZ15" s="199">
        <v>0</v>
      </c>
      <c r="BA15" s="199" t="s">
        <v>29</v>
      </c>
      <c r="BB15" s="199" t="s">
        <v>29</v>
      </c>
      <c r="BC15" s="199" t="s">
        <v>29</v>
      </c>
      <c r="BD15" s="199" t="s">
        <v>29</v>
      </c>
      <c r="BE15" s="199" t="s">
        <v>29</v>
      </c>
      <c r="BF15" s="199" t="s">
        <v>29</v>
      </c>
      <c r="BG15" s="199" t="s">
        <v>29</v>
      </c>
      <c r="BH15" s="199" t="s">
        <v>29</v>
      </c>
      <c r="BI15" s="199" t="s">
        <v>29</v>
      </c>
      <c r="BJ15" s="199" t="s">
        <v>29</v>
      </c>
      <c r="BK15" s="199" t="s">
        <v>29</v>
      </c>
      <c r="BL15" s="199" t="s">
        <v>29</v>
      </c>
      <c r="BM15" s="199" t="s">
        <v>29</v>
      </c>
      <c r="BN15" s="199" t="s">
        <v>29</v>
      </c>
      <c r="BO15" s="199" t="s">
        <v>29</v>
      </c>
      <c r="BP15" s="199" t="s">
        <v>29</v>
      </c>
      <c r="BQ15" s="193"/>
      <c r="BR15" s="187">
        <v>0</v>
      </c>
      <c r="BS15" s="202">
        <v>300000</v>
      </c>
      <c r="BT15" s="199">
        <v>240000</v>
      </c>
      <c r="BU15" s="192" t="s">
        <v>818</v>
      </c>
      <c r="BV15" s="192" t="s">
        <v>489</v>
      </c>
      <c r="BW15" s="192">
        <v>3</v>
      </c>
      <c r="BX15" s="192" t="s">
        <v>488</v>
      </c>
      <c r="BY15" s="192" t="s">
        <v>819</v>
      </c>
      <c r="BZ15" s="192" t="s">
        <v>777</v>
      </c>
      <c r="CA15" s="192">
        <v>1</v>
      </c>
      <c r="CB15" s="192" t="s">
        <v>466</v>
      </c>
      <c r="CC15" s="192" t="s">
        <v>820</v>
      </c>
      <c r="CD15" s="192" t="s">
        <v>97</v>
      </c>
      <c r="CE15" s="192">
        <v>7</v>
      </c>
      <c r="CF15" s="192" t="s">
        <v>466</v>
      </c>
      <c r="CG15" s="192" t="s">
        <v>821</v>
      </c>
      <c r="CH15" s="192" t="s">
        <v>489</v>
      </c>
      <c r="CI15" s="192">
        <v>140</v>
      </c>
      <c r="CJ15" s="192" t="s">
        <v>488</v>
      </c>
      <c r="CK15" s="192" t="s">
        <v>822</v>
      </c>
      <c r="CL15" s="192" t="s">
        <v>97</v>
      </c>
      <c r="CM15" s="192">
        <v>10</v>
      </c>
      <c r="CN15" s="192" t="s">
        <v>134</v>
      </c>
      <c r="CO15" s="192" t="s">
        <v>728</v>
      </c>
      <c r="CP15" s="192" t="s">
        <v>749</v>
      </c>
      <c r="CQ15" s="192">
        <v>7000</v>
      </c>
      <c r="CR15" s="192" t="s">
        <v>730</v>
      </c>
      <c r="CS15" s="192" t="s">
        <v>823</v>
      </c>
      <c r="CT15" s="192" t="s">
        <v>97</v>
      </c>
      <c r="CU15" s="192">
        <v>1</v>
      </c>
      <c r="CV15" s="192" t="s">
        <v>137</v>
      </c>
      <c r="CW15" s="192" t="s">
        <v>824</v>
      </c>
      <c r="CX15" s="192" t="s">
        <v>416</v>
      </c>
      <c r="CY15" s="192">
        <v>50</v>
      </c>
      <c r="CZ15" s="192" t="s">
        <v>733</v>
      </c>
      <c r="DA15" s="192" t="s">
        <v>316</v>
      </c>
      <c r="DB15" s="192" t="s">
        <v>316</v>
      </c>
      <c r="DC15" s="192" t="s">
        <v>316</v>
      </c>
      <c r="DD15" s="192" t="s">
        <v>316</v>
      </c>
      <c r="DE15" s="192" t="s">
        <v>316</v>
      </c>
      <c r="DF15" s="192" t="s">
        <v>316</v>
      </c>
      <c r="DG15" s="192" t="s">
        <v>316</v>
      </c>
      <c r="DH15" s="192" t="s">
        <v>316</v>
      </c>
      <c r="DI15" s="192" t="s">
        <v>316</v>
      </c>
      <c r="DJ15" s="192" t="s">
        <v>316</v>
      </c>
      <c r="DK15" s="192" t="s">
        <v>316</v>
      </c>
      <c r="DL15" s="192" t="s">
        <v>316</v>
      </c>
      <c r="DM15" s="192" t="s">
        <v>316</v>
      </c>
      <c r="DN15" s="192" t="s">
        <v>316</v>
      </c>
      <c r="DO15" s="192" t="s">
        <v>316</v>
      </c>
      <c r="DP15" s="192" t="s">
        <v>316</v>
      </c>
      <c r="DQ15" s="192" t="s">
        <v>316</v>
      </c>
      <c r="DR15" s="192" t="s">
        <v>316</v>
      </c>
      <c r="DS15" s="192" t="s">
        <v>316</v>
      </c>
      <c r="DT15" s="192" t="s">
        <v>316</v>
      </c>
      <c r="DU15" s="192" t="s">
        <v>316</v>
      </c>
      <c r="DV15" s="192" t="s">
        <v>316</v>
      </c>
      <c r="DW15" s="192" t="s">
        <v>316</v>
      </c>
      <c r="DX15" s="192" t="s">
        <v>316</v>
      </c>
      <c r="DY15" s="192" t="s">
        <v>316</v>
      </c>
      <c r="DZ15" s="192" t="s">
        <v>316</v>
      </c>
      <c r="EA15" s="192" t="s">
        <v>316</v>
      </c>
      <c r="EB15" s="192" t="s">
        <v>316</v>
      </c>
      <c r="EC15" s="192" t="s">
        <v>29</v>
      </c>
      <c r="ED15" s="192" t="s">
        <v>29</v>
      </c>
      <c r="EE15" s="192" t="s">
        <v>29</v>
      </c>
      <c r="EF15" s="192" t="s">
        <v>29</v>
      </c>
      <c r="EG15" s="192" t="s">
        <v>29</v>
      </c>
      <c r="EH15" s="192" t="s">
        <v>29</v>
      </c>
      <c r="EI15" s="192" t="s">
        <v>29</v>
      </c>
      <c r="EJ15" s="192" t="s">
        <v>29</v>
      </c>
      <c r="EK15" s="192" t="s">
        <v>29</v>
      </c>
      <c r="EL15" s="192" t="s">
        <v>29</v>
      </c>
      <c r="EM15" s="192" t="s">
        <v>29</v>
      </c>
      <c r="EN15" s="192" t="s">
        <v>29</v>
      </c>
    </row>
    <row r="16" spans="1:146" ht="15">
      <c r="A16" s="187" t="str">
        <f t="shared" si="0"/>
        <v>MIZPP02726643073A</v>
      </c>
      <c r="B16" s="197" t="s">
        <v>168</v>
      </c>
      <c r="C16" s="198" t="s">
        <v>226</v>
      </c>
      <c r="D16" s="199" t="s">
        <v>1090</v>
      </c>
      <c r="E16" s="199">
        <v>26643073</v>
      </c>
      <c r="F16" s="199" t="s">
        <v>593</v>
      </c>
      <c r="G16" s="187"/>
      <c r="H16" s="198"/>
      <c r="I16" s="187"/>
      <c r="J16" s="187"/>
      <c r="K16" s="187"/>
      <c r="L16" s="200"/>
      <c r="M16" s="199" t="s">
        <v>593</v>
      </c>
      <c r="N16" s="198"/>
      <c r="O16" s="200"/>
      <c r="P16" s="198"/>
      <c r="Q16" s="199" t="s">
        <v>624</v>
      </c>
      <c r="R16" s="187"/>
      <c r="S16" s="198"/>
      <c r="T16" s="198"/>
      <c r="U16" s="187"/>
      <c r="V16" s="187"/>
      <c r="W16" s="187"/>
      <c r="X16" s="187"/>
      <c r="Y16" s="199" t="s">
        <v>549</v>
      </c>
      <c r="Z16" s="201">
        <v>192672</v>
      </c>
      <c r="AA16" s="201">
        <v>0</v>
      </c>
      <c r="AB16" s="193">
        <f t="shared" si="1"/>
        <v>192672</v>
      </c>
      <c r="AC16" s="201">
        <v>0</v>
      </c>
      <c r="AD16" s="201">
        <v>0</v>
      </c>
      <c r="AE16" s="193">
        <f t="shared" si="2"/>
        <v>0</v>
      </c>
      <c r="AF16" s="201">
        <v>0</v>
      </c>
      <c r="AG16" s="196"/>
      <c r="AH16" s="187"/>
      <c r="AI16" s="187"/>
      <c r="AJ16" s="187"/>
      <c r="AK16" s="193">
        <f t="shared" si="3"/>
        <v>0</v>
      </c>
      <c r="AL16" s="199" t="s">
        <v>29</v>
      </c>
      <c r="AM16" s="199" t="s">
        <v>29</v>
      </c>
      <c r="AN16" s="199" t="s">
        <v>29</v>
      </c>
      <c r="AO16" s="199" t="s">
        <v>29</v>
      </c>
      <c r="AP16" s="193"/>
      <c r="AQ16" s="201">
        <v>0</v>
      </c>
      <c r="AR16" s="201">
        <v>10000</v>
      </c>
      <c r="AS16" s="201">
        <v>0</v>
      </c>
      <c r="AT16" s="201">
        <v>0</v>
      </c>
      <c r="AU16" s="201">
        <v>0</v>
      </c>
      <c r="AV16" s="201">
        <v>0</v>
      </c>
      <c r="AW16" s="201">
        <v>0</v>
      </c>
      <c r="AX16" s="201">
        <v>0</v>
      </c>
      <c r="AY16" s="199" t="s">
        <v>662</v>
      </c>
      <c r="AZ16" s="199">
        <v>70000</v>
      </c>
      <c r="BA16" s="199" t="s">
        <v>318</v>
      </c>
      <c r="BB16" s="199">
        <v>4000</v>
      </c>
      <c r="BC16" s="199" t="s">
        <v>663</v>
      </c>
      <c r="BD16" s="199">
        <v>4800</v>
      </c>
      <c r="BE16" s="199" t="s">
        <v>664</v>
      </c>
      <c r="BF16" s="199">
        <v>0</v>
      </c>
      <c r="BG16" s="199" t="s">
        <v>665</v>
      </c>
      <c r="BH16" s="199">
        <v>0</v>
      </c>
      <c r="BI16" s="199" t="s">
        <v>666</v>
      </c>
      <c r="BJ16" s="199">
        <v>1200</v>
      </c>
      <c r="BK16" s="199" t="s">
        <v>29</v>
      </c>
      <c r="BL16" s="199" t="s">
        <v>29</v>
      </c>
      <c r="BM16" s="199" t="s">
        <v>29</v>
      </c>
      <c r="BN16" s="199" t="s">
        <v>29</v>
      </c>
      <c r="BO16" s="199" t="s">
        <v>29</v>
      </c>
      <c r="BP16" s="199" t="s">
        <v>29</v>
      </c>
      <c r="BQ16" s="193"/>
      <c r="BR16" s="187">
        <v>12000</v>
      </c>
      <c r="BS16" s="202">
        <v>294672</v>
      </c>
      <c r="BT16" s="199">
        <v>160424</v>
      </c>
      <c r="BU16" s="192" t="s">
        <v>825</v>
      </c>
      <c r="BV16" s="192" t="s">
        <v>97</v>
      </c>
      <c r="BW16" s="192">
        <v>1</v>
      </c>
      <c r="BX16" s="192" t="s">
        <v>466</v>
      </c>
      <c r="BY16" s="192" t="s">
        <v>825</v>
      </c>
      <c r="BZ16" s="192" t="s">
        <v>489</v>
      </c>
      <c r="CA16" s="192">
        <v>20</v>
      </c>
      <c r="CB16" s="192" t="s">
        <v>488</v>
      </c>
      <c r="CC16" s="192" t="s">
        <v>826</v>
      </c>
      <c r="CD16" s="192" t="s">
        <v>97</v>
      </c>
      <c r="CE16" s="192">
        <v>2</v>
      </c>
      <c r="CF16" s="192" t="s">
        <v>133</v>
      </c>
      <c r="CG16" s="192" t="s">
        <v>770</v>
      </c>
      <c r="CH16" s="192" t="s">
        <v>729</v>
      </c>
      <c r="CI16" s="192">
        <v>10</v>
      </c>
      <c r="CJ16" s="192" t="s">
        <v>134</v>
      </c>
      <c r="CK16" s="192" t="s">
        <v>827</v>
      </c>
      <c r="CL16" s="192" t="s">
        <v>735</v>
      </c>
      <c r="CM16" s="192">
        <v>8</v>
      </c>
      <c r="CN16" s="192" t="s">
        <v>423</v>
      </c>
      <c r="CO16" s="192" t="s">
        <v>828</v>
      </c>
      <c r="CP16" s="192" t="s">
        <v>777</v>
      </c>
      <c r="CQ16" s="192">
        <v>4</v>
      </c>
      <c r="CR16" s="192" t="s">
        <v>138</v>
      </c>
      <c r="CS16" s="192" t="s">
        <v>828</v>
      </c>
      <c r="CT16" s="192" t="s">
        <v>489</v>
      </c>
      <c r="CU16" s="192">
        <v>60</v>
      </c>
      <c r="CV16" s="192" t="s">
        <v>418</v>
      </c>
      <c r="CW16" s="192" t="s">
        <v>774</v>
      </c>
      <c r="CX16" s="192" t="s">
        <v>144</v>
      </c>
      <c r="CY16" s="192">
        <v>4</v>
      </c>
      <c r="CZ16" s="192" t="s">
        <v>139</v>
      </c>
      <c r="DA16" s="192" t="s">
        <v>812</v>
      </c>
      <c r="DB16" s="192" t="s">
        <v>729</v>
      </c>
      <c r="DC16" s="192">
        <v>7500</v>
      </c>
      <c r="DD16" s="192" t="s">
        <v>730</v>
      </c>
      <c r="DE16" s="192" t="s">
        <v>726</v>
      </c>
      <c r="DF16" s="192" t="s">
        <v>725</v>
      </c>
      <c r="DG16" s="192">
        <v>32</v>
      </c>
      <c r="DH16" s="192" t="s">
        <v>726</v>
      </c>
      <c r="DI16" s="192" t="s">
        <v>316</v>
      </c>
      <c r="DJ16" s="192" t="s">
        <v>316</v>
      </c>
      <c r="DK16" s="192" t="s">
        <v>316</v>
      </c>
      <c r="DL16" s="192" t="s">
        <v>316</v>
      </c>
      <c r="DM16" s="192" t="s">
        <v>316</v>
      </c>
      <c r="DN16" s="192" t="s">
        <v>316</v>
      </c>
      <c r="DO16" s="192" t="s">
        <v>316</v>
      </c>
      <c r="DP16" s="192" t="s">
        <v>316</v>
      </c>
      <c r="DQ16" s="192" t="s">
        <v>316</v>
      </c>
      <c r="DR16" s="192" t="s">
        <v>316</v>
      </c>
      <c r="DS16" s="192" t="s">
        <v>316</v>
      </c>
      <c r="DT16" s="192" t="s">
        <v>316</v>
      </c>
      <c r="DU16" s="192" t="s">
        <v>316</v>
      </c>
      <c r="DV16" s="192" t="s">
        <v>316</v>
      </c>
      <c r="DW16" s="192" t="s">
        <v>316</v>
      </c>
      <c r="DX16" s="192" t="s">
        <v>316</v>
      </c>
      <c r="DY16" s="192" t="s">
        <v>316</v>
      </c>
      <c r="DZ16" s="192" t="s">
        <v>316</v>
      </c>
      <c r="EA16" s="192" t="s">
        <v>316</v>
      </c>
      <c r="EB16" s="192" t="s">
        <v>316</v>
      </c>
      <c r="EC16" s="192" t="s">
        <v>29</v>
      </c>
      <c r="ED16" s="192" t="s">
        <v>29</v>
      </c>
      <c r="EE16" s="192" t="s">
        <v>29</v>
      </c>
      <c r="EF16" s="192" t="s">
        <v>29</v>
      </c>
      <c r="EG16" s="192" t="s">
        <v>29</v>
      </c>
      <c r="EH16" s="192" t="s">
        <v>29</v>
      </c>
      <c r="EI16" s="192" t="s">
        <v>29</v>
      </c>
      <c r="EJ16" s="192" t="s">
        <v>29</v>
      </c>
      <c r="EK16" s="192" t="s">
        <v>29</v>
      </c>
      <c r="EL16" s="192" t="s">
        <v>29</v>
      </c>
      <c r="EM16" s="192" t="s">
        <v>29</v>
      </c>
      <c r="EN16" s="192" t="s">
        <v>29</v>
      </c>
    </row>
    <row r="17" spans="1:144" ht="15">
      <c r="A17" s="187" t="str">
        <f t="shared" si="0"/>
        <v>MIZPP03226098296A</v>
      </c>
      <c r="B17" s="197" t="s">
        <v>231</v>
      </c>
      <c r="C17" s="198" t="s">
        <v>226</v>
      </c>
      <c r="D17" s="199" t="s">
        <v>1091</v>
      </c>
      <c r="E17" s="199">
        <v>26098296</v>
      </c>
      <c r="F17" s="199" t="s">
        <v>601</v>
      </c>
      <c r="G17" s="187"/>
      <c r="H17" s="198"/>
      <c r="I17" s="187"/>
      <c r="J17" s="187"/>
      <c r="K17" s="187"/>
      <c r="L17" s="200"/>
      <c r="M17" s="199" t="s">
        <v>601</v>
      </c>
      <c r="N17" s="198"/>
      <c r="O17" s="200"/>
      <c r="P17" s="198"/>
      <c r="Q17" s="199" t="s">
        <v>625</v>
      </c>
      <c r="R17" s="187"/>
      <c r="S17" s="198"/>
      <c r="T17" s="198"/>
      <c r="U17" s="187"/>
      <c r="V17" s="187"/>
      <c r="W17" s="187"/>
      <c r="X17" s="187"/>
      <c r="Y17" s="199" t="s">
        <v>550</v>
      </c>
      <c r="Z17" s="201">
        <v>193000</v>
      </c>
      <c r="AA17" s="201">
        <v>24000</v>
      </c>
      <c r="AB17" s="193">
        <f t="shared" si="1"/>
        <v>217000</v>
      </c>
      <c r="AC17" s="201">
        <v>10000</v>
      </c>
      <c r="AD17" s="201">
        <v>0</v>
      </c>
      <c r="AE17" s="193">
        <f t="shared" si="2"/>
        <v>10000</v>
      </c>
      <c r="AF17" s="201">
        <v>1500</v>
      </c>
      <c r="AG17" s="196"/>
      <c r="AH17" s="187"/>
      <c r="AI17" s="187"/>
      <c r="AJ17" s="187"/>
      <c r="AK17" s="193">
        <f t="shared" si="3"/>
        <v>1500</v>
      </c>
      <c r="AL17" s="199" t="s">
        <v>719</v>
      </c>
      <c r="AM17" s="199">
        <v>9000</v>
      </c>
      <c r="AN17" s="199" t="s">
        <v>720</v>
      </c>
      <c r="AO17" s="199">
        <v>3000</v>
      </c>
      <c r="AP17" s="193"/>
      <c r="AQ17" s="201">
        <v>0</v>
      </c>
      <c r="AR17" s="201">
        <v>0</v>
      </c>
      <c r="AS17" s="201">
        <v>0</v>
      </c>
      <c r="AT17" s="201">
        <v>4500</v>
      </c>
      <c r="AU17" s="201">
        <v>10000</v>
      </c>
      <c r="AV17" s="201">
        <v>0</v>
      </c>
      <c r="AW17" s="201">
        <v>0</v>
      </c>
      <c r="AX17" s="201">
        <v>12000</v>
      </c>
      <c r="AY17" s="199" t="s">
        <v>642</v>
      </c>
      <c r="AZ17" s="199">
        <v>0</v>
      </c>
      <c r="BA17" s="199" t="s">
        <v>180</v>
      </c>
      <c r="BB17" s="199">
        <v>0</v>
      </c>
      <c r="BC17" s="199" t="s">
        <v>29</v>
      </c>
      <c r="BD17" s="199" t="s">
        <v>29</v>
      </c>
      <c r="BE17" s="199" t="s">
        <v>29</v>
      </c>
      <c r="BF17" s="199" t="s">
        <v>29</v>
      </c>
      <c r="BG17" s="199" t="s">
        <v>29</v>
      </c>
      <c r="BH17" s="199" t="s">
        <v>29</v>
      </c>
      <c r="BI17" s="199" t="s">
        <v>29</v>
      </c>
      <c r="BJ17" s="199" t="s">
        <v>29</v>
      </c>
      <c r="BK17" s="199" t="s">
        <v>29</v>
      </c>
      <c r="BL17" s="199" t="s">
        <v>29</v>
      </c>
      <c r="BM17" s="199" t="s">
        <v>29</v>
      </c>
      <c r="BN17" s="199" t="s">
        <v>29</v>
      </c>
      <c r="BO17" s="199" t="s">
        <v>29</v>
      </c>
      <c r="BP17" s="199" t="s">
        <v>29</v>
      </c>
      <c r="BQ17" s="193"/>
      <c r="BR17" s="187">
        <v>24000</v>
      </c>
      <c r="BS17" s="202">
        <v>291000</v>
      </c>
      <c r="BT17" s="199">
        <v>132800</v>
      </c>
      <c r="BU17" s="192" t="s">
        <v>829</v>
      </c>
      <c r="BV17" s="192" t="s">
        <v>97</v>
      </c>
      <c r="BW17" s="192">
        <v>12</v>
      </c>
      <c r="BX17" s="192" t="s">
        <v>466</v>
      </c>
      <c r="BY17" s="192" t="s">
        <v>830</v>
      </c>
      <c r="BZ17" s="192" t="s">
        <v>489</v>
      </c>
      <c r="CA17" s="192">
        <v>300</v>
      </c>
      <c r="CB17" s="192" t="s">
        <v>488</v>
      </c>
      <c r="CC17" s="192" t="s">
        <v>831</v>
      </c>
      <c r="CD17" s="192" t="s">
        <v>97</v>
      </c>
      <c r="CE17" s="192">
        <v>1</v>
      </c>
      <c r="CF17" s="192" t="s">
        <v>466</v>
      </c>
      <c r="CG17" s="192" t="s">
        <v>428</v>
      </c>
      <c r="CH17" s="192" t="s">
        <v>489</v>
      </c>
      <c r="CI17" s="192">
        <v>250</v>
      </c>
      <c r="CJ17" s="192" t="s">
        <v>488</v>
      </c>
      <c r="CK17" s="192" t="s">
        <v>832</v>
      </c>
      <c r="CL17" s="192" t="s">
        <v>97</v>
      </c>
      <c r="CM17" s="192">
        <v>8</v>
      </c>
      <c r="CN17" s="192" t="s">
        <v>466</v>
      </c>
      <c r="CO17" s="192" t="s">
        <v>833</v>
      </c>
      <c r="CP17" s="192" t="s">
        <v>489</v>
      </c>
      <c r="CQ17" s="192">
        <v>130</v>
      </c>
      <c r="CR17" s="192" t="s">
        <v>488</v>
      </c>
      <c r="CS17" s="192" t="s">
        <v>134</v>
      </c>
      <c r="CT17" s="192" t="s">
        <v>97</v>
      </c>
      <c r="CU17" s="192">
        <v>22</v>
      </c>
      <c r="CV17" s="192" t="s">
        <v>134</v>
      </c>
      <c r="CW17" s="192" t="s">
        <v>730</v>
      </c>
      <c r="CX17" s="192" t="s">
        <v>749</v>
      </c>
      <c r="CY17" s="192">
        <v>800</v>
      </c>
      <c r="CZ17" s="192" t="s">
        <v>730</v>
      </c>
      <c r="DA17" s="192" t="s">
        <v>316</v>
      </c>
      <c r="DB17" s="192" t="s">
        <v>316</v>
      </c>
      <c r="DC17" s="192" t="s">
        <v>316</v>
      </c>
      <c r="DD17" s="192" t="s">
        <v>316</v>
      </c>
      <c r="DE17" s="192" t="s">
        <v>316</v>
      </c>
      <c r="DF17" s="192" t="s">
        <v>316</v>
      </c>
      <c r="DG17" s="192" t="s">
        <v>316</v>
      </c>
      <c r="DH17" s="192" t="s">
        <v>316</v>
      </c>
      <c r="DI17" s="192" t="s">
        <v>316</v>
      </c>
      <c r="DJ17" s="192" t="s">
        <v>316</v>
      </c>
      <c r="DK17" s="192" t="s">
        <v>316</v>
      </c>
      <c r="DL17" s="192" t="s">
        <v>316</v>
      </c>
      <c r="DM17" s="192" t="s">
        <v>316</v>
      </c>
      <c r="DN17" s="192" t="s">
        <v>316</v>
      </c>
      <c r="DO17" s="192" t="s">
        <v>316</v>
      </c>
      <c r="DP17" s="192" t="s">
        <v>316</v>
      </c>
      <c r="DQ17" s="192" t="s">
        <v>316</v>
      </c>
      <c r="DR17" s="192" t="s">
        <v>316</v>
      </c>
      <c r="DS17" s="192" t="s">
        <v>316</v>
      </c>
      <c r="DT17" s="192" t="s">
        <v>316</v>
      </c>
      <c r="DU17" s="192" t="s">
        <v>316</v>
      </c>
      <c r="DV17" s="192" t="s">
        <v>316</v>
      </c>
      <c r="DW17" s="192" t="s">
        <v>316</v>
      </c>
      <c r="DX17" s="192" t="s">
        <v>316</v>
      </c>
      <c r="DY17" s="192" t="s">
        <v>316</v>
      </c>
      <c r="DZ17" s="192" t="s">
        <v>316</v>
      </c>
      <c r="EA17" s="192" t="s">
        <v>316</v>
      </c>
      <c r="EB17" s="192" t="s">
        <v>316</v>
      </c>
      <c r="EC17" s="192" t="s">
        <v>29</v>
      </c>
      <c r="ED17" s="192" t="s">
        <v>29</v>
      </c>
      <c r="EE17" s="192" t="s">
        <v>29</v>
      </c>
      <c r="EF17" s="192" t="s">
        <v>29</v>
      </c>
      <c r="EG17" s="192" t="s">
        <v>29</v>
      </c>
      <c r="EH17" s="192" t="s">
        <v>29</v>
      </c>
      <c r="EI17" s="192" t="s">
        <v>29</v>
      </c>
      <c r="EJ17" s="192" t="s">
        <v>29</v>
      </c>
      <c r="EK17" s="192" t="s">
        <v>29</v>
      </c>
      <c r="EL17" s="192" t="s">
        <v>29</v>
      </c>
      <c r="EM17" s="192" t="s">
        <v>29</v>
      </c>
      <c r="EN17" s="192" t="s">
        <v>29</v>
      </c>
    </row>
    <row r="18" spans="1:144" ht="15">
      <c r="A18" s="187" t="str">
        <f t="shared" si="0"/>
        <v>MIZPP03922880569A</v>
      </c>
      <c r="B18" s="197" t="s">
        <v>517</v>
      </c>
      <c r="C18" s="198" t="s">
        <v>226</v>
      </c>
      <c r="D18" s="199" t="s">
        <v>1092</v>
      </c>
      <c r="E18" s="199">
        <v>22880569</v>
      </c>
      <c r="F18" s="199" t="s">
        <v>602</v>
      </c>
      <c r="G18" s="187"/>
      <c r="H18" s="198"/>
      <c r="I18" s="187"/>
      <c r="J18" s="187"/>
      <c r="K18" s="187"/>
      <c r="L18" s="200"/>
      <c r="M18" s="199" t="s">
        <v>602</v>
      </c>
      <c r="N18" s="198"/>
      <c r="O18" s="200"/>
      <c r="P18" s="198"/>
      <c r="Q18" s="199" t="s">
        <v>626</v>
      </c>
      <c r="R18" s="187"/>
      <c r="S18" s="198"/>
      <c r="T18" s="198"/>
      <c r="U18" s="187"/>
      <c r="V18" s="187"/>
      <c r="W18" s="187"/>
      <c r="X18" s="187"/>
      <c r="Y18" s="199" t="s">
        <v>551</v>
      </c>
      <c r="Z18" s="201">
        <v>60000</v>
      </c>
      <c r="AA18" s="201">
        <v>70000</v>
      </c>
      <c r="AB18" s="193">
        <f t="shared" si="1"/>
        <v>130000</v>
      </c>
      <c r="AC18" s="201">
        <v>0</v>
      </c>
      <c r="AD18" s="201">
        <v>0</v>
      </c>
      <c r="AE18" s="193">
        <f t="shared" si="2"/>
        <v>0</v>
      </c>
      <c r="AF18" s="201">
        <v>45000</v>
      </c>
      <c r="AG18" s="196"/>
      <c r="AH18" s="187"/>
      <c r="AI18" s="187"/>
      <c r="AJ18" s="187"/>
      <c r="AK18" s="193">
        <f t="shared" si="3"/>
        <v>45000</v>
      </c>
      <c r="AL18" s="199" t="s">
        <v>721</v>
      </c>
      <c r="AM18" s="199">
        <v>20000</v>
      </c>
      <c r="AN18" s="199" t="s">
        <v>722</v>
      </c>
      <c r="AO18" s="199">
        <v>19000</v>
      </c>
      <c r="AP18" s="193"/>
      <c r="AQ18" s="201">
        <v>7000</v>
      </c>
      <c r="AR18" s="201">
        <v>0</v>
      </c>
      <c r="AS18" s="201">
        <v>0</v>
      </c>
      <c r="AT18" s="201">
        <v>0</v>
      </c>
      <c r="AU18" s="201">
        <v>0</v>
      </c>
      <c r="AV18" s="201">
        <v>0</v>
      </c>
      <c r="AW18" s="201">
        <v>0</v>
      </c>
      <c r="AX18" s="201">
        <v>0</v>
      </c>
      <c r="AY18" s="199" t="s">
        <v>667</v>
      </c>
      <c r="AZ18" s="199">
        <v>20000</v>
      </c>
      <c r="BA18" s="199" t="s">
        <v>668</v>
      </c>
      <c r="BB18" s="199">
        <v>25000</v>
      </c>
      <c r="BC18" s="199" t="s">
        <v>29</v>
      </c>
      <c r="BD18" s="199" t="s">
        <v>29</v>
      </c>
      <c r="BE18" s="199" t="s">
        <v>29</v>
      </c>
      <c r="BF18" s="199" t="s">
        <v>29</v>
      </c>
      <c r="BG18" s="199" t="s">
        <v>29</v>
      </c>
      <c r="BH18" s="199" t="s">
        <v>29</v>
      </c>
      <c r="BI18" s="199" t="s">
        <v>29</v>
      </c>
      <c r="BJ18" s="199" t="s">
        <v>29</v>
      </c>
      <c r="BK18" s="199" t="s">
        <v>29</v>
      </c>
      <c r="BL18" s="199" t="s">
        <v>29</v>
      </c>
      <c r="BM18" s="199" t="s">
        <v>29</v>
      </c>
      <c r="BN18" s="199" t="s">
        <v>29</v>
      </c>
      <c r="BO18" s="199" t="s">
        <v>29</v>
      </c>
      <c r="BP18" s="199" t="s">
        <v>29</v>
      </c>
      <c r="BQ18" s="193"/>
      <c r="BR18" s="187">
        <v>30000</v>
      </c>
      <c r="BS18" s="202">
        <v>296000</v>
      </c>
      <c r="BT18" s="199">
        <v>135000</v>
      </c>
      <c r="BU18" s="192" t="s">
        <v>834</v>
      </c>
      <c r="BV18" s="192" t="s">
        <v>97</v>
      </c>
      <c r="BW18" s="192">
        <v>50</v>
      </c>
      <c r="BX18" s="192" t="s">
        <v>422</v>
      </c>
      <c r="BY18" s="192" t="s">
        <v>421</v>
      </c>
      <c r="BZ18" s="192" t="s">
        <v>97</v>
      </c>
      <c r="CA18" s="192">
        <v>3</v>
      </c>
      <c r="CB18" s="192" t="s">
        <v>133</v>
      </c>
      <c r="CC18" s="192" t="s">
        <v>835</v>
      </c>
      <c r="CD18" s="192" t="s">
        <v>97</v>
      </c>
      <c r="CE18" s="192">
        <v>27</v>
      </c>
      <c r="CF18" s="192" t="s">
        <v>466</v>
      </c>
      <c r="CG18" s="192" t="s">
        <v>836</v>
      </c>
      <c r="CH18" s="192" t="s">
        <v>489</v>
      </c>
      <c r="CI18" s="192">
        <v>80</v>
      </c>
      <c r="CJ18" s="192" t="s">
        <v>488</v>
      </c>
      <c r="CK18" s="192" t="s">
        <v>134</v>
      </c>
      <c r="CL18" s="192" t="s">
        <v>97</v>
      </c>
      <c r="CM18" s="192">
        <v>24</v>
      </c>
      <c r="CN18" s="192" t="s">
        <v>134</v>
      </c>
      <c r="CO18" s="192" t="s">
        <v>837</v>
      </c>
      <c r="CP18" s="192" t="s">
        <v>749</v>
      </c>
      <c r="CQ18" s="192">
        <v>1500</v>
      </c>
      <c r="CR18" s="192" t="s">
        <v>730</v>
      </c>
      <c r="CS18" s="192" t="s">
        <v>838</v>
      </c>
      <c r="CT18" s="192" t="s">
        <v>735</v>
      </c>
      <c r="CU18" s="192">
        <v>200</v>
      </c>
      <c r="CV18" s="192" t="s">
        <v>423</v>
      </c>
      <c r="CW18" s="192" t="s">
        <v>138</v>
      </c>
      <c r="CX18" s="192" t="s">
        <v>777</v>
      </c>
      <c r="CY18" s="192">
        <v>1</v>
      </c>
      <c r="CZ18" s="192" t="s">
        <v>138</v>
      </c>
      <c r="DA18" s="192" t="s">
        <v>839</v>
      </c>
      <c r="DB18" s="192" t="s">
        <v>489</v>
      </c>
      <c r="DC18" s="192">
        <v>50</v>
      </c>
      <c r="DD18" s="192" t="s">
        <v>418</v>
      </c>
      <c r="DE18" s="192" t="s">
        <v>840</v>
      </c>
      <c r="DF18" s="192" t="s">
        <v>97</v>
      </c>
      <c r="DG18" s="192">
        <v>10</v>
      </c>
      <c r="DH18" s="192" t="s">
        <v>137</v>
      </c>
      <c r="DI18" s="192" t="s">
        <v>841</v>
      </c>
      <c r="DJ18" s="192" t="s">
        <v>416</v>
      </c>
      <c r="DK18" s="192">
        <v>2000</v>
      </c>
      <c r="DL18" s="192" t="s">
        <v>733</v>
      </c>
      <c r="DM18" s="192" t="s">
        <v>139</v>
      </c>
      <c r="DN18" s="192" t="s">
        <v>144</v>
      </c>
      <c r="DO18" s="192">
        <v>30</v>
      </c>
      <c r="DP18" s="192" t="s">
        <v>139</v>
      </c>
      <c r="DQ18" s="192" t="s">
        <v>842</v>
      </c>
      <c r="DR18" s="192" t="s">
        <v>725</v>
      </c>
      <c r="DS18" s="192">
        <v>1000</v>
      </c>
      <c r="DT18" s="192" t="s">
        <v>726</v>
      </c>
      <c r="DU18" s="192" t="s">
        <v>316</v>
      </c>
      <c r="DV18" s="192" t="s">
        <v>316</v>
      </c>
      <c r="DW18" s="192" t="s">
        <v>316</v>
      </c>
      <c r="DX18" s="192" t="s">
        <v>316</v>
      </c>
      <c r="DY18" s="192" t="s">
        <v>316</v>
      </c>
      <c r="DZ18" s="192" t="s">
        <v>316</v>
      </c>
      <c r="EA18" s="192" t="s">
        <v>316</v>
      </c>
      <c r="EB18" s="192" t="s">
        <v>316</v>
      </c>
      <c r="EC18" s="192" t="s">
        <v>29</v>
      </c>
      <c r="ED18" s="192" t="s">
        <v>29</v>
      </c>
      <c r="EE18" s="192" t="s">
        <v>29</v>
      </c>
      <c r="EF18" s="192" t="s">
        <v>29</v>
      </c>
      <c r="EG18" s="192" t="s">
        <v>29</v>
      </c>
      <c r="EH18" s="192" t="s">
        <v>29</v>
      </c>
      <c r="EI18" s="192" t="s">
        <v>29</v>
      </c>
      <c r="EJ18" s="192" t="s">
        <v>29</v>
      </c>
      <c r="EK18" s="192" t="s">
        <v>29</v>
      </c>
      <c r="EL18" s="192" t="s">
        <v>29</v>
      </c>
      <c r="EM18" s="192" t="s">
        <v>29</v>
      </c>
      <c r="EN18" s="192" t="s">
        <v>29</v>
      </c>
    </row>
    <row r="19" spans="1:144" ht="15">
      <c r="A19" s="187" t="str">
        <f t="shared" si="0"/>
        <v>MIZPP04270947805A</v>
      </c>
      <c r="B19" s="197" t="s">
        <v>169</v>
      </c>
      <c r="C19" s="198" t="s">
        <v>226</v>
      </c>
      <c r="D19" s="199" t="s">
        <v>1081</v>
      </c>
      <c r="E19" s="199">
        <v>70947805</v>
      </c>
      <c r="F19" s="199" t="s">
        <v>603</v>
      </c>
      <c r="G19" s="187"/>
      <c r="H19" s="198"/>
      <c r="I19" s="187"/>
      <c r="J19" s="187"/>
      <c r="K19" s="187"/>
      <c r="L19" s="200"/>
      <c r="M19" s="199" t="s">
        <v>603</v>
      </c>
      <c r="N19" s="198"/>
      <c r="O19" s="200"/>
      <c r="P19" s="198"/>
      <c r="Q19" s="199" t="s">
        <v>621</v>
      </c>
      <c r="R19" s="187"/>
      <c r="S19" s="198"/>
      <c r="T19" s="198"/>
      <c r="U19" s="187"/>
      <c r="V19" s="187"/>
      <c r="W19" s="187"/>
      <c r="X19" s="187"/>
      <c r="Y19" s="199" t="s">
        <v>552</v>
      </c>
      <c r="Z19" s="201">
        <v>168000</v>
      </c>
      <c r="AA19" s="201">
        <v>27000</v>
      </c>
      <c r="AB19" s="193">
        <f t="shared" si="1"/>
        <v>195000</v>
      </c>
      <c r="AC19" s="201">
        <v>3500</v>
      </c>
      <c r="AD19" s="201">
        <v>0</v>
      </c>
      <c r="AE19" s="193">
        <f t="shared" si="2"/>
        <v>3500</v>
      </c>
      <c r="AF19" s="201">
        <v>500</v>
      </c>
      <c r="AG19" s="196"/>
      <c r="AH19" s="187"/>
      <c r="AI19" s="187"/>
      <c r="AJ19" s="187"/>
      <c r="AK19" s="193">
        <f t="shared" si="3"/>
        <v>500</v>
      </c>
      <c r="AL19" s="199" t="s">
        <v>29</v>
      </c>
      <c r="AM19" s="199" t="s">
        <v>29</v>
      </c>
      <c r="AN19" s="199" t="s">
        <v>29</v>
      </c>
      <c r="AO19" s="199" t="s">
        <v>29</v>
      </c>
      <c r="AP19" s="193"/>
      <c r="AQ19" s="201">
        <v>6000</v>
      </c>
      <c r="AR19" s="201">
        <v>20000</v>
      </c>
      <c r="AS19" s="201">
        <v>9000</v>
      </c>
      <c r="AT19" s="201">
        <v>4500</v>
      </c>
      <c r="AU19" s="201">
        <v>1000</v>
      </c>
      <c r="AV19" s="201">
        <v>3500</v>
      </c>
      <c r="AW19" s="201">
        <v>0</v>
      </c>
      <c r="AX19" s="201">
        <v>0</v>
      </c>
      <c r="AY19" s="199" t="s">
        <v>669</v>
      </c>
      <c r="AZ19" s="199">
        <v>9500</v>
      </c>
      <c r="BA19" s="199" t="s">
        <v>670</v>
      </c>
      <c r="BB19" s="199">
        <v>2500</v>
      </c>
      <c r="BC19" s="199" t="s">
        <v>671</v>
      </c>
      <c r="BD19" s="199">
        <v>3000</v>
      </c>
      <c r="BE19" s="199" t="s">
        <v>672</v>
      </c>
      <c r="BF19" s="199">
        <v>12000</v>
      </c>
      <c r="BG19" s="199" t="s">
        <v>29</v>
      </c>
      <c r="BH19" s="199" t="s">
        <v>29</v>
      </c>
      <c r="BI19" s="199" t="s">
        <v>29</v>
      </c>
      <c r="BJ19" s="199" t="s">
        <v>29</v>
      </c>
      <c r="BK19" s="199" t="s">
        <v>29</v>
      </c>
      <c r="BL19" s="199" t="s">
        <v>29</v>
      </c>
      <c r="BM19" s="199" t="s">
        <v>29</v>
      </c>
      <c r="BN19" s="199" t="s">
        <v>29</v>
      </c>
      <c r="BO19" s="199" t="s">
        <v>29</v>
      </c>
      <c r="BP19" s="199" t="s">
        <v>29</v>
      </c>
      <c r="BQ19" s="193"/>
      <c r="BR19" s="187">
        <v>24000</v>
      </c>
      <c r="BS19" s="202">
        <v>294000</v>
      </c>
      <c r="BT19" s="199">
        <v>201000</v>
      </c>
      <c r="BU19" s="192" t="s">
        <v>195</v>
      </c>
      <c r="BV19" s="192" t="s">
        <v>97</v>
      </c>
      <c r="BW19" s="192">
        <v>1</v>
      </c>
      <c r="BX19" s="192" t="s">
        <v>466</v>
      </c>
      <c r="BY19" s="192" t="s">
        <v>843</v>
      </c>
      <c r="BZ19" s="192" t="s">
        <v>489</v>
      </c>
      <c r="CA19" s="192">
        <v>5</v>
      </c>
      <c r="CB19" s="192" t="s">
        <v>488</v>
      </c>
      <c r="CC19" s="192" t="s">
        <v>844</v>
      </c>
      <c r="CD19" s="192" t="s">
        <v>97</v>
      </c>
      <c r="CE19" s="192">
        <v>6</v>
      </c>
      <c r="CF19" s="192" t="s">
        <v>137</v>
      </c>
      <c r="CG19" s="192" t="s">
        <v>845</v>
      </c>
      <c r="CH19" s="192" t="s">
        <v>416</v>
      </c>
      <c r="CI19" s="192">
        <v>245</v>
      </c>
      <c r="CJ19" s="192" t="s">
        <v>733</v>
      </c>
      <c r="CK19" s="192" t="s">
        <v>101</v>
      </c>
      <c r="CL19" s="192" t="s">
        <v>97</v>
      </c>
      <c r="CM19" s="192">
        <v>25</v>
      </c>
      <c r="CN19" s="192" t="s">
        <v>134</v>
      </c>
      <c r="CO19" s="192" t="s">
        <v>728</v>
      </c>
      <c r="CP19" s="192" t="s">
        <v>749</v>
      </c>
      <c r="CQ19" s="192">
        <v>25000</v>
      </c>
      <c r="CR19" s="192" t="s">
        <v>730</v>
      </c>
      <c r="CS19" s="192" t="s">
        <v>846</v>
      </c>
      <c r="CT19" s="192" t="s">
        <v>97</v>
      </c>
      <c r="CU19" s="192">
        <v>8</v>
      </c>
      <c r="CV19" s="192" t="s">
        <v>133</v>
      </c>
      <c r="CW19" s="192" t="s">
        <v>847</v>
      </c>
      <c r="CX19" s="192" t="s">
        <v>735</v>
      </c>
      <c r="CY19" s="192">
        <v>10</v>
      </c>
      <c r="CZ19" s="192" t="s">
        <v>423</v>
      </c>
      <c r="DA19" s="192" t="s">
        <v>316</v>
      </c>
      <c r="DB19" s="192" t="s">
        <v>316</v>
      </c>
      <c r="DC19" s="192" t="s">
        <v>316</v>
      </c>
      <c r="DD19" s="192" t="s">
        <v>316</v>
      </c>
      <c r="DE19" s="192" t="s">
        <v>316</v>
      </c>
      <c r="DF19" s="192" t="s">
        <v>316</v>
      </c>
      <c r="DG19" s="192" t="s">
        <v>316</v>
      </c>
      <c r="DH19" s="192" t="s">
        <v>316</v>
      </c>
      <c r="DI19" s="192" t="s">
        <v>316</v>
      </c>
      <c r="DJ19" s="192" t="s">
        <v>316</v>
      </c>
      <c r="DK19" s="192" t="s">
        <v>316</v>
      </c>
      <c r="DL19" s="192" t="s">
        <v>316</v>
      </c>
      <c r="DM19" s="192" t="s">
        <v>316</v>
      </c>
      <c r="DN19" s="192" t="s">
        <v>316</v>
      </c>
      <c r="DO19" s="192" t="s">
        <v>316</v>
      </c>
      <c r="DP19" s="192" t="s">
        <v>316</v>
      </c>
      <c r="DQ19" s="192" t="s">
        <v>316</v>
      </c>
      <c r="DR19" s="192" t="s">
        <v>316</v>
      </c>
      <c r="DS19" s="192" t="s">
        <v>316</v>
      </c>
      <c r="DT19" s="192" t="s">
        <v>316</v>
      </c>
      <c r="DU19" s="192" t="s">
        <v>316</v>
      </c>
      <c r="DV19" s="192" t="s">
        <v>316</v>
      </c>
      <c r="DW19" s="192" t="s">
        <v>316</v>
      </c>
      <c r="DX19" s="192" t="s">
        <v>316</v>
      </c>
      <c r="DY19" s="192" t="s">
        <v>316</v>
      </c>
      <c r="DZ19" s="192" t="s">
        <v>316</v>
      </c>
      <c r="EA19" s="192" t="s">
        <v>316</v>
      </c>
      <c r="EB19" s="192" t="s">
        <v>316</v>
      </c>
      <c r="EC19" s="192" t="s">
        <v>29</v>
      </c>
      <c r="ED19" s="192" t="s">
        <v>29</v>
      </c>
      <c r="EE19" s="192" t="s">
        <v>29</v>
      </c>
      <c r="EF19" s="192" t="s">
        <v>29</v>
      </c>
      <c r="EG19" s="192" t="s">
        <v>29</v>
      </c>
      <c r="EH19" s="192" t="s">
        <v>29</v>
      </c>
      <c r="EI19" s="192" t="s">
        <v>29</v>
      </c>
      <c r="EJ19" s="192" t="s">
        <v>29</v>
      </c>
      <c r="EK19" s="192" t="s">
        <v>29</v>
      </c>
      <c r="EL19" s="192" t="s">
        <v>29</v>
      </c>
      <c r="EM19" s="192" t="s">
        <v>29</v>
      </c>
      <c r="EN19" s="192" t="s">
        <v>29</v>
      </c>
    </row>
    <row r="20" spans="1:144" ht="15">
      <c r="A20" s="187" t="str">
        <f t="shared" si="0"/>
        <v>MIZPP04422743731A</v>
      </c>
      <c r="B20" s="197" t="s">
        <v>518</v>
      </c>
      <c r="C20" s="198" t="s">
        <v>226</v>
      </c>
      <c r="D20" s="199" t="s">
        <v>1082</v>
      </c>
      <c r="E20" s="199">
        <v>22743731</v>
      </c>
      <c r="F20" s="199" t="s">
        <v>604</v>
      </c>
      <c r="G20" s="187"/>
      <c r="H20" s="198"/>
      <c r="I20" s="187"/>
      <c r="J20" s="187"/>
      <c r="K20" s="187"/>
      <c r="L20" s="200"/>
      <c r="M20" s="199" t="s">
        <v>604</v>
      </c>
      <c r="N20" s="198"/>
      <c r="O20" s="200"/>
      <c r="P20" s="198"/>
      <c r="Q20" s="199" t="s">
        <v>272</v>
      </c>
      <c r="R20" s="187"/>
      <c r="S20" s="198"/>
      <c r="T20" s="198"/>
      <c r="U20" s="187"/>
      <c r="V20" s="187"/>
      <c r="W20" s="187"/>
      <c r="X20" s="187"/>
      <c r="Y20" s="199" t="s">
        <v>553</v>
      </c>
      <c r="Z20" s="201">
        <v>0</v>
      </c>
      <c r="AA20" s="201">
        <v>0</v>
      </c>
      <c r="AB20" s="193">
        <f t="shared" si="1"/>
        <v>0</v>
      </c>
      <c r="AC20" s="201">
        <v>0</v>
      </c>
      <c r="AD20" s="201">
        <v>0</v>
      </c>
      <c r="AE20" s="193">
        <f t="shared" si="2"/>
        <v>0</v>
      </c>
      <c r="AF20" s="201">
        <v>0</v>
      </c>
      <c r="AG20" s="196"/>
      <c r="AH20" s="187"/>
      <c r="AI20" s="187"/>
      <c r="AJ20" s="187"/>
      <c r="AK20" s="193">
        <f t="shared" si="3"/>
        <v>0</v>
      </c>
      <c r="AL20" s="199" t="s">
        <v>29</v>
      </c>
      <c r="AM20" s="199" t="s">
        <v>29</v>
      </c>
      <c r="AN20" s="199" t="s">
        <v>29</v>
      </c>
      <c r="AO20" s="199" t="s">
        <v>29</v>
      </c>
      <c r="AP20" s="193"/>
      <c r="AQ20" s="201">
        <v>0</v>
      </c>
      <c r="AR20" s="201">
        <v>0</v>
      </c>
      <c r="AS20" s="201">
        <v>0</v>
      </c>
      <c r="AT20" s="201">
        <v>26000</v>
      </c>
      <c r="AU20" s="201">
        <v>20000</v>
      </c>
      <c r="AV20" s="201">
        <v>52000</v>
      </c>
      <c r="AW20" s="201">
        <v>0</v>
      </c>
      <c r="AX20" s="201">
        <v>0</v>
      </c>
      <c r="AY20" s="199" t="s">
        <v>642</v>
      </c>
      <c r="AZ20" s="199">
        <v>0</v>
      </c>
      <c r="BA20" s="199" t="s">
        <v>29</v>
      </c>
      <c r="BB20" s="199" t="s">
        <v>29</v>
      </c>
      <c r="BC20" s="199" t="s">
        <v>29</v>
      </c>
      <c r="BD20" s="199" t="s">
        <v>29</v>
      </c>
      <c r="BE20" s="199" t="s">
        <v>29</v>
      </c>
      <c r="BF20" s="199" t="s">
        <v>29</v>
      </c>
      <c r="BG20" s="199" t="s">
        <v>29</v>
      </c>
      <c r="BH20" s="199" t="s">
        <v>29</v>
      </c>
      <c r="BI20" s="199" t="s">
        <v>29</v>
      </c>
      <c r="BJ20" s="199" t="s">
        <v>29</v>
      </c>
      <c r="BK20" s="199" t="s">
        <v>29</v>
      </c>
      <c r="BL20" s="199" t="s">
        <v>29</v>
      </c>
      <c r="BM20" s="199" t="s">
        <v>29</v>
      </c>
      <c r="BN20" s="199" t="s">
        <v>29</v>
      </c>
      <c r="BO20" s="199" t="s">
        <v>29</v>
      </c>
      <c r="BP20" s="199" t="s">
        <v>29</v>
      </c>
      <c r="BQ20" s="193"/>
      <c r="BR20" s="187">
        <v>0</v>
      </c>
      <c r="BS20" s="202">
        <v>98000</v>
      </c>
      <c r="BT20" s="199">
        <v>60000</v>
      </c>
      <c r="BU20" s="192" t="s">
        <v>848</v>
      </c>
      <c r="BV20" s="192" t="s">
        <v>97</v>
      </c>
      <c r="BW20" s="192">
        <v>1</v>
      </c>
      <c r="BX20" s="192" t="s">
        <v>137</v>
      </c>
      <c r="BY20" s="192" t="s">
        <v>849</v>
      </c>
      <c r="BZ20" s="192" t="s">
        <v>416</v>
      </c>
      <c r="CA20" s="192">
        <v>5000</v>
      </c>
      <c r="CB20" s="192" t="s">
        <v>733</v>
      </c>
      <c r="CC20" s="192" t="s">
        <v>850</v>
      </c>
      <c r="CD20" s="192" t="s">
        <v>97</v>
      </c>
      <c r="CE20" s="192">
        <v>1</v>
      </c>
      <c r="CF20" s="192" t="s">
        <v>137</v>
      </c>
      <c r="CG20" s="192" t="s">
        <v>442</v>
      </c>
      <c r="CH20" s="192" t="s">
        <v>416</v>
      </c>
      <c r="CI20" s="192">
        <v>10000</v>
      </c>
      <c r="CJ20" s="192" t="s">
        <v>733</v>
      </c>
      <c r="CK20" s="192" t="s">
        <v>441</v>
      </c>
      <c r="CL20" s="192" t="s">
        <v>97</v>
      </c>
      <c r="CM20" s="192">
        <v>21</v>
      </c>
      <c r="CN20" s="192" t="s">
        <v>134</v>
      </c>
      <c r="CO20" s="192" t="s">
        <v>728</v>
      </c>
      <c r="CP20" s="192" t="s">
        <v>749</v>
      </c>
      <c r="CQ20" s="192">
        <v>2500</v>
      </c>
      <c r="CR20" s="192" t="s">
        <v>730</v>
      </c>
      <c r="CS20" s="192" t="s">
        <v>316</v>
      </c>
      <c r="CT20" s="192" t="s">
        <v>316</v>
      </c>
      <c r="CU20" s="192" t="s">
        <v>316</v>
      </c>
      <c r="CV20" s="192" t="s">
        <v>316</v>
      </c>
      <c r="CW20" s="192" t="s">
        <v>316</v>
      </c>
      <c r="CX20" s="192" t="s">
        <v>316</v>
      </c>
      <c r="CY20" s="192" t="s">
        <v>316</v>
      </c>
      <c r="CZ20" s="192" t="s">
        <v>316</v>
      </c>
      <c r="DA20" s="192" t="s">
        <v>316</v>
      </c>
      <c r="DB20" s="192" t="s">
        <v>316</v>
      </c>
      <c r="DC20" s="192" t="s">
        <v>316</v>
      </c>
      <c r="DD20" s="192" t="s">
        <v>316</v>
      </c>
      <c r="DE20" s="192" t="s">
        <v>316</v>
      </c>
      <c r="DF20" s="192" t="s">
        <v>316</v>
      </c>
      <c r="DG20" s="192" t="s">
        <v>316</v>
      </c>
      <c r="DH20" s="192" t="s">
        <v>316</v>
      </c>
      <c r="DI20" s="192" t="s">
        <v>316</v>
      </c>
      <c r="DJ20" s="192" t="s">
        <v>316</v>
      </c>
      <c r="DK20" s="192" t="s">
        <v>316</v>
      </c>
      <c r="DL20" s="192" t="s">
        <v>316</v>
      </c>
      <c r="DM20" s="192" t="s">
        <v>316</v>
      </c>
      <c r="DN20" s="192" t="s">
        <v>316</v>
      </c>
      <c r="DO20" s="192" t="s">
        <v>316</v>
      </c>
      <c r="DP20" s="192" t="s">
        <v>316</v>
      </c>
      <c r="DQ20" s="192" t="s">
        <v>316</v>
      </c>
      <c r="DR20" s="192" t="s">
        <v>316</v>
      </c>
      <c r="DS20" s="192" t="s">
        <v>316</v>
      </c>
      <c r="DT20" s="192" t="s">
        <v>316</v>
      </c>
      <c r="DU20" s="192" t="s">
        <v>316</v>
      </c>
      <c r="DV20" s="192" t="s">
        <v>316</v>
      </c>
      <c r="DW20" s="192" t="s">
        <v>316</v>
      </c>
      <c r="DX20" s="192" t="s">
        <v>316</v>
      </c>
      <c r="DY20" s="192" t="s">
        <v>316</v>
      </c>
      <c r="DZ20" s="192" t="s">
        <v>316</v>
      </c>
      <c r="EA20" s="192" t="s">
        <v>316</v>
      </c>
      <c r="EB20" s="192" t="s">
        <v>316</v>
      </c>
      <c r="EC20" s="192" t="s">
        <v>29</v>
      </c>
      <c r="ED20" s="192" t="s">
        <v>29</v>
      </c>
      <c r="EE20" s="192" t="s">
        <v>29</v>
      </c>
      <c r="EF20" s="192" t="s">
        <v>29</v>
      </c>
      <c r="EG20" s="192" t="s">
        <v>29</v>
      </c>
      <c r="EH20" s="192" t="s">
        <v>29</v>
      </c>
      <c r="EI20" s="192" t="s">
        <v>29</v>
      </c>
      <c r="EJ20" s="192" t="s">
        <v>29</v>
      </c>
      <c r="EK20" s="192" t="s">
        <v>29</v>
      </c>
      <c r="EL20" s="192" t="s">
        <v>29</v>
      </c>
      <c r="EM20" s="192" t="s">
        <v>29</v>
      </c>
      <c r="EN20" s="192" t="s">
        <v>29</v>
      </c>
    </row>
    <row r="21" spans="1:144" ht="15">
      <c r="A21" s="187" t="str">
        <f t="shared" si="0"/>
        <v>MIZPP04500408328A</v>
      </c>
      <c r="B21" s="197" t="s">
        <v>519</v>
      </c>
      <c r="C21" s="198" t="s">
        <v>226</v>
      </c>
      <c r="D21" s="199" t="s">
        <v>1093</v>
      </c>
      <c r="E21" s="197" t="s">
        <v>249</v>
      </c>
      <c r="F21" s="199" t="s">
        <v>605</v>
      </c>
      <c r="G21" s="187"/>
      <c r="H21" s="198"/>
      <c r="I21" s="187"/>
      <c r="J21" s="187"/>
      <c r="K21" s="187"/>
      <c r="L21" s="200"/>
      <c r="M21" s="199" t="s">
        <v>605</v>
      </c>
      <c r="N21" s="198"/>
      <c r="O21" s="200"/>
      <c r="P21" s="198"/>
      <c r="Q21" s="199" t="s">
        <v>627</v>
      </c>
      <c r="R21" s="187"/>
      <c r="S21" s="198"/>
      <c r="T21" s="198"/>
      <c r="U21" s="187"/>
      <c r="V21" s="187"/>
      <c r="W21" s="187"/>
      <c r="X21" s="187"/>
      <c r="Y21" s="199" t="s">
        <v>554</v>
      </c>
      <c r="Z21" s="201">
        <v>90000</v>
      </c>
      <c r="AA21" s="201">
        <v>0</v>
      </c>
      <c r="AB21" s="193">
        <f t="shared" si="1"/>
        <v>90000</v>
      </c>
      <c r="AC21" s="201">
        <v>0</v>
      </c>
      <c r="AD21" s="201">
        <v>0</v>
      </c>
      <c r="AE21" s="193">
        <f t="shared" si="2"/>
        <v>0</v>
      </c>
      <c r="AF21" s="201">
        <v>52000</v>
      </c>
      <c r="AG21" s="196"/>
      <c r="AH21" s="187"/>
      <c r="AI21" s="187"/>
      <c r="AJ21" s="187"/>
      <c r="AK21" s="193">
        <f t="shared" si="3"/>
        <v>52000</v>
      </c>
      <c r="AL21" s="199" t="s">
        <v>29</v>
      </c>
      <c r="AM21" s="199" t="s">
        <v>29</v>
      </c>
      <c r="AN21" s="199" t="s">
        <v>29</v>
      </c>
      <c r="AO21" s="199" t="s">
        <v>29</v>
      </c>
      <c r="AP21" s="193"/>
      <c r="AQ21" s="201">
        <v>0</v>
      </c>
      <c r="AR21" s="201">
        <v>0</v>
      </c>
      <c r="AS21" s="201">
        <v>0</v>
      </c>
      <c r="AT21" s="201">
        <v>0</v>
      </c>
      <c r="AU21" s="201">
        <v>0</v>
      </c>
      <c r="AV21" s="201">
        <v>0</v>
      </c>
      <c r="AW21" s="201">
        <v>0</v>
      </c>
      <c r="AX21" s="201">
        <v>0</v>
      </c>
      <c r="AY21" s="199" t="s">
        <v>319</v>
      </c>
      <c r="AZ21" s="199">
        <v>5000</v>
      </c>
      <c r="BA21" s="199" t="s">
        <v>320</v>
      </c>
      <c r="BB21" s="199">
        <v>13800</v>
      </c>
      <c r="BC21" s="199" t="s">
        <v>321</v>
      </c>
      <c r="BD21" s="199">
        <v>4000</v>
      </c>
      <c r="BE21" s="199" t="s">
        <v>673</v>
      </c>
      <c r="BF21" s="199">
        <v>14100</v>
      </c>
      <c r="BG21" s="199" t="s">
        <v>322</v>
      </c>
      <c r="BH21" s="199">
        <v>11300</v>
      </c>
      <c r="BI21" s="199" t="s">
        <v>323</v>
      </c>
      <c r="BJ21" s="199">
        <v>19000</v>
      </c>
      <c r="BK21" s="199" t="s">
        <v>324</v>
      </c>
      <c r="BL21" s="199">
        <v>20600</v>
      </c>
      <c r="BM21" s="199" t="s">
        <v>325</v>
      </c>
      <c r="BN21" s="199">
        <v>22000</v>
      </c>
      <c r="BO21" s="199" t="s">
        <v>326</v>
      </c>
      <c r="BP21" s="199">
        <v>17000</v>
      </c>
      <c r="BQ21" s="193"/>
      <c r="BR21" s="187">
        <v>30000</v>
      </c>
      <c r="BS21" s="202">
        <v>298800</v>
      </c>
      <c r="BT21" s="199">
        <v>169605</v>
      </c>
      <c r="BU21" s="192" t="s">
        <v>851</v>
      </c>
      <c r="BV21" s="192" t="s">
        <v>102</v>
      </c>
      <c r="BW21" s="192">
        <v>16.2</v>
      </c>
      <c r="BX21" s="192" t="s">
        <v>852</v>
      </c>
      <c r="BY21" s="192" t="s">
        <v>853</v>
      </c>
      <c r="BZ21" s="192" t="s">
        <v>414</v>
      </c>
      <c r="CA21" s="192">
        <v>3</v>
      </c>
      <c r="CB21" s="192" t="s">
        <v>806</v>
      </c>
      <c r="CC21" s="192" t="s">
        <v>854</v>
      </c>
      <c r="CD21" s="192" t="s">
        <v>97</v>
      </c>
      <c r="CE21" s="192">
        <v>254</v>
      </c>
      <c r="CF21" s="192" t="s">
        <v>422</v>
      </c>
      <c r="CG21" s="192" t="s">
        <v>855</v>
      </c>
      <c r="CH21" s="192" t="s">
        <v>725</v>
      </c>
      <c r="CI21" s="192">
        <v>2000</v>
      </c>
      <c r="CJ21" s="192" t="s">
        <v>726</v>
      </c>
      <c r="CK21" s="192" t="s">
        <v>856</v>
      </c>
      <c r="CL21" s="192" t="s">
        <v>144</v>
      </c>
      <c r="CM21" s="192">
        <v>80</v>
      </c>
      <c r="CN21" s="192" t="s">
        <v>139</v>
      </c>
      <c r="CO21" s="192" t="s">
        <v>440</v>
      </c>
      <c r="CP21" s="192" t="s">
        <v>97</v>
      </c>
      <c r="CQ21" s="192">
        <v>5</v>
      </c>
      <c r="CR21" s="192" t="s">
        <v>134</v>
      </c>
      <c r="CS21" s="192" t="s">
        <v>857</v>
      </c>
      <c r="CT21" s="192" t="s">
        <v>749</v>
      </c>
      <c r="CU21" s="192">
        <v>150</v>
      </c>
      <c r="CV21" s="192" t="s">
        <v>730</v>
      </c>
      <c r="CW21" s="192" t="s">
        <v>316</v>
      </c>
      <c r="CX21" s="192" t="s">
        <v>316</v>
      </c>
      <c r="CY21" s="192" t="s">
        <v>316</v>
      </c>
      <c r="CZ21" s="192" t="s">
        <v>316</v>
      </c>
      <c r="DA21" s="192" t="s">
        <v>316</v>
      </c>
      <c r="DB21" s="192" t="s">
        <v>316</v>
      </c>
      <c r="DC21" s="192" t="s">
        <v>316</v>
      </c>
      <c r="DD21" s="192" t="s">
        <v>316</v>
      </c>
      <c r="DE21" s="192" t="s">
        <v>316</v>
      </c>
      <c r="DF21" s="192" t="s">
        <v>316</v>
      </c>
      <c r="DG21" s="192" t="s">
        <v>316</v>
      </c>
      <c r="DH21" s="192" t="s">
        <v>316</v>
      </c>
      <c r="DI21" s="192" t="s">
        <v>316</v>
      </c>
      <c r="DJ21" s="192" t="s">
        <v>316</v>
      </c>
      <c r="DK21" s="192" t="s">
        <v>316</v>
      </c>
      <c r="DL21" s="192" t="s">
        <v>316</v>
      </c>
      <c r="DM21" s="192" t="s">
        <v>316</v>
      </c>
      <c r="DN21" s="192" t="s">
        <v>316</v>
      </c>
      <c r="DO21" s="192" t="s">
        <v>316</v>
      </c>
      <c r="DP21" s="192" t="s">
        <v>316</v>
      </c>
      <c r="DQ21" s="192" t="s">
        <v>316</v>
      </c>
      <c r="DR21" s="192" t="s">
        <v>316</v>
      </c>
      <c r="DS21" s="192" t="s">
        <v>316</v>
      </c>
      <c r="DT21" s="192" t="s">
        <v>316</v>
      </c>
      <c r="DU21" s="192" t="s">
        <v>316</v>
      </c>
      <c r="DV21" s="192" t="s">
        <v>316</v>
      </c>
      <c r="DW21" s="192" t="s">
        <v>316</v>
      </c>
      <c r="DX21" s="192" t="s">
        <v>316</v>
      </c>
      <c r="DY21" s="192" t="s">
        <v>316</v>
      </c>
      <c r="DZ21" s="192" t="s">
        <v>316</v>
      </c>
      <c r="EA21" s="192" t="s">
        <v>316</v>
      </c>
      <c r="EB21" s="192" t="s">
        <v>316</v>
      </c>
      <c r="EC21" s="192" t="s">
        <v>29</v>
      </c>
      <c r="ED21" s="192" t="s">
        <v>29</v>
      </c>
      <c r="EE21" s="192" t="s">
        <v>29</v>
      </c>
      <c r="EF21" s="192" t="s">
        <v>29</v>
      </c>
      <c r="EG21" s="192" t="s">
        <v>29</v>
      </c>
      <c r="EH21" s="192" t="s">
        <v>29</v>
      </c>
      <c r="EI21" s="192" t="s">
        <v>29</v>
      </c>
      <c r="EJ21" s="192" t="s">
        <v>29</v>
      </c>
      <c r="EK21" s="192" t="s">
        <v>29</v>
      </c>
      <c r="EL21" s="192" t="s">
        <v>29</v>
      </c>
      <c r="EM21" s="192" t="s">
        <v>29</v>
      </c>
      <c r="EN21" s="192" t="s">
        <v>29</v>
      </c>
    </row>
    <row r="22" spans="1:144" ht="15">
      <c r="A22" s="187" t="str">
        <f t="shared" si="0"/>
        <v>MIZPP04826639947A</v>
      </c>
      <c r="B22" s="197" t="s">
        <v>520</v>
      </c>
      <c r="C22" s="198" t="s">
        <v>226</v>
      </c>
      <c r="D22" s="199" t="s">
        <v>1094</v>
      </c>
      <c r="E22" s="199">
        <v>26639947</v>
      </c>
      <c r="F22" s="199" t="s">
        <v>606</v>
      </c>
      <c r="G22" s="187"/>
      <c r="H22" s="198"/>
      <c r="I22" s="187"/>
      <c r="J22" s="187"/>
      <c r="K22" s="187"/>
      <c r="L22" s="200"/>
      <c r="M22" s="199" t="s">
        <v>606</v>
      </c>
      <c r="N22" s="198"/>
      <c r="O22" s="200"/>
      <c r="P22" s="198"/>
      <c r="Q22" s="199" t="s">
        <v>628</v>
      </c>
      <c r="R22" s="187"/>
      <c r="S22" s="198"/>
      <c r="T22" s="198"/>
      <c r="U22" s="187"/>
      <c r="V22" s="187"/>
      <c r="W22" s="187"/>
      <c r="X22" s="187"/>
      <c r="Y22" s="199" t="s">
        <v>555</v>
      </c>
      <c r="Z22" s="201">
        <v>0</v>
      </c>
      <c r="AA22" s="201">
        <v>266600</v>
      </c>
      <c r="AB22" s="193">
        <f t="shared" si="1"/>
        <v>266600</v>
      </c>
      <c r="AC22" s="201">
        <v>0</v>
      </c>
      <c r="AD22" s="201">
        <v>0</v>
      </c>
      <c r="AE22" s="193">
        <f t="shared" si="2"/>
        <v>0</v>
      </c>
      <c r="AF22" s="201">
        <v>6500</v>
      </c>
      <c r="AG22" s="196"/>
      <c r="AH22" s="187"/>
      <c r="AI22" s="187"/>
      <c r="AJ22" s="187"/>
      <c r="AK22" s="193">
        <f t="shared" si="3"/>
        <v>6500</v>
      </c>
      <c r="AL22" s="199" t="s">
        <v>29</v>
      </c>
      <c r="AM22" s="199" t="s">
        <v>29</v>
      </c>
      <c r="AN22" s="199" t="s">
        <v>29</v>
      </c>
      <c r="AO22" s="199" t="s">
        <v>29</v>
      </c>
      <c r="AP22" s="193"/>
      <c r="AQ22" s="201">
        <v>5000</v>
      </c>
      <c r="AR22" s="201">
        <v>11900</v>
      </c>
      <c r="AS22" s="201">
        <v>0</v>
      </c>
      <c r="AT22" s="201">
        <v>0</v>
      </c>
      <c r="AU22" s="201">
        <v>0</v>
      </c>
      <c r="AV22" s="201">
        <v>0</v>
      </c>
      <c r="AW22" s="201">
        <v>0</v>
      </c>
      <c r="AX22" s="201">
        <v>0</v>
      </c>
      <c r="AY22" s="199" t="s">
        <v>642</v>
      </c>
      <c r="AZ22" s="199">
        <v>0</v>
      </c>
      <c r="BA22" s="199" t="s">
        <v>29</v>
      </c>
      <c r="BB22" s="199" t="s">
        <v>29</v>
      </c>
      <c r="BC22" s="199" t="s">
        <v>29</v>
      </c>
      <c r="BD22" s="199" t="s">
        <v>29</v>
      </c>
      <c r="BE22" s="199" t="s">
        <v>29</v>
      </c>
      <c r="BF22" s="199" t="s">
        <v>29</v>
      </c>
      <c r="BG22" s="199" t="s">
        <v>29</v>
      </c>
      <c r="BH22" s="199" t="s">
        <v>29</v>
      </c>
      <c r="BI22" s="199" t="s">
        <v>29</v>
      </c>
      <c r="BJ22" s="199" t="s">
        <v>29</v>
      </c>
      <c r="BK22" s="199" t="s">
        <v>29</v>
      </c>
      <c r="BL22" s="199" t="s">
        <v>29</v>
      </c>
      <c r="BM22" s="199" t="s">
        <v>29</v>
      </c>
      <c r="BN22" s="199" t="s">
        <v>29</v>
      </c>
      <c r="BO22" s="199" t="s">
        <v>29</v>
      </c>
      <c r="BP22" s="199" t="s">
        <v>29</v>
      </c>
      <c r="BQ22" s="193"/>
      <c r="BR22" s="187">
        <v>10000</v>
      </c>
      <c r="BS22" s="202">
        <v>300000</v>
      </c>
      <c r="BT22" s="199">
        <v>310200</v>
      </c>
      <c r="BU22" s="192" t="s">
        <v>858</v>
      </c>
      <c r="BV22" s="192" t="s">
        <v>97</v>
      </c>
      <c r="BW22" s="192">
        <v>13</v>
      </c>
      <c r="BX22" s="192" t="s">
        <v>466</v>
      </c>
      <c r="BY22" s="192" t="s">
        <v>818</v>
      </c>
      <c r="BZ22" s="192" t="s">
        <v>489</v>
      </c>
      <c r="CA22" s="192">
        <v>8</v>
      </c>
      <c r="CB22" s="192" t="s">
        <v>488</v>
      </c>
      <c r="CC22" s="192" t="s">
        <v>859</v>
      </c>
      <c r="CD22" s="192" t="s">
        <v>97</v>
      </c>
      <c r="CE22" s="192">
        <v>13</v>
      </c>
      <c r="CF22" s="192" t="s">
        <v>466</v>
      </c>
      <c r="CG22" s="192" t="s">
        <v>860</v>
      </c>
      <c r="CH22" s="192" t="s">
        <v>489</v>
      </c>
      <c r="CI22" s="192">
        <v>8</v>
      </c>
      <c r="CJ22" s="192" t="s">
        <v>488</v>
      </c>
      <c r="CK22" s="192" t="s">
        <v>861</v>
      </c>
      <c r="CL22" s="192" t="s">
        <v>97</v>
      </c>
      <c r="CM22" s="192">
        <v>13</v>
      </c>
      <c r="CN22" s="192" t="s">
        <v>466</v>
      </c>
      <c r="CO22" s="192" t="s">
        <v>862</v>
      </c>
      <c r="CP22" s="192" t="s">
        <v>489</v>
      </c>
      <c r="CQ22" s="192">
        <v>120</v>
      </c>
      <c r="CR22" s="192" t="s">
        <v>488</v>
      </c>
      <c r="CS22" s="192" t="s">
        <v>863</v>
      </c>
      <c r="CT22" s="192" t="s">
        <v>97</v>
      </c>
      <c r="CU22" s="192">
        <v>8</v>
      </c>
      <c r="CV22" s="192" t="s">
        <v>134</v>
      </c>
      <c r="CW22" s="192" t="s">
        <v>728</v>
      </c>
      <c r="CX22" s="192" t="s">
        <v>749</v>
      </c>
      <c r="CY22" s="192">
        <v>2000</v>
      </c>
      <c r="CZ22" s="192" t="s">
        <v>730</v>
      </c>
      <c r="DA22" s="192" t="s">
        <v>864</v>
      </c>
      <c r="DB22" s="192" t="s">
        <v>97</v>
      </c>
      <c r="DC22" s="192">
        <v>1</v>
      </c>
      <c r="DD22" s="192" t="s">
        <v>137</v>
      </c>
      <c r="DE22" s="192" t="s">
        <v>865</v>
      </c>
      <c r="DF22" s="192" t="s">
        <v>416</v>
      </c>
      <c r="DG22" s="192">
        <v>5000</v>
      </c>
      <c r="DH22" s="192" t="s">
        <v>733</v>
      </c>
      <c r="DI22" s="192" t="s">
        <v>866</v>
      </c>
      <c r="DJ22" s="192" t="s">
        <v>97</v>
      </c>
      <c r="DK22" s="192">
        <v>3</v>
      </c>
      <c r="DL22" s="192" t="s">
        <v>133</v>
      </c>
      <c r="DM22" s="192" t="s">
        <v>316</v>
      </c>
      <c r="DN22" s="192" t="s">
        <v>316</v>
      </c>
      <c r="DO22" s="192" t="s">
        <v>316</v>
      </c>
      <c r="DP22" s="192" t="s">
        <v>316</v>
      </c>
      <c r="DQ22" s="192" t="s">
        <v>316</v>
      </c>
      <c r="DR22" s="192" t="s">
        <v>316</v>
      </c>
      <c r="DS22" s="192" t="s">
        <v>316</v>
      </c>
      <c r="DT22" s="192" t="s">
        <v>316</v>
      </c>
      <c r="DU22" s="192" t="s">
        <v>316</v>
      </c>
      <c r="DV22" s="192" t="s">
        <v>316</v>
      </c>
      <c r="DW22" s="192" t="s">
        <v>316</v>
      </c>
      <c r="DX22" s="192" t="s">
        <v>316</v>
      </c>
      <c r="DY22" s="192" t="s">
        <v>316</v>
      </c>
      <c r="DZ22" s="192" t="s">
        <v>316</v>
      </c>
      <c r="EA22" s="192" t="s">
        <v>316</v>
      </c>
      <c r="EB22" s="192" t="s">
        <v>316</v>
      </c>
      <c r="EC22" s="192" t="s">
        <v>29</v>
      </c>
      <c r="ED22" s="192" t="s">
        <v>29</v>
      </c>
      <c r="EE22" s="192" t="s">
        <v>29</v>
      </c>
      <c r="EF22" s="192" t="s">
        <v>29</v>
      </c>
      <c r="EG22" s="192" t="s">
        <v>29</v>
      </c>
      <c r="EH22" s="192" t="s">
        <v>29</v>
      </c>
      <c r="EI22" s="192" t="s">
        <v>29</v>
      </c>
      <c r="EJ22" s="192" t="s">
        <v>29</v>
      </c>
      <c r="EK22" s="192" t="s">
        <v>29</v>
      </c>
      <c r="EL22" s="192" t="s">
        <v>29</v>
      </c>
      <c r="EM22" s="192" t="s">
        <v>29</v>
      </c>
      <c r="EN22" s="192" t="s">
        <v>29</v>
      </c>
    </row>
    <row r="23" spans="1:144" ht="15">
      <c r="A23" s="187" t="str">
        <f t="shared" si="0"/>
        <v>MIZPP04922907122A</v>
      </c>
      <c r="B23" s="197" t="s">
        <v>521</v>
      </c>
      <c r="C23" s="198" t="s">
        <v>226</v>
      </c>
      <c r="D23" s="199" t="s">
        <v>1095</v>
      </c>
      <c r="E23" s="199">
        <v>22907122</v>
      </c>
      <c r="F23" s="199" t="s">
        <v>607</v>
      </c>
      <c r="G23" s="187"/>
      <c r="H23" s="198"/>
      <c r="I23" s="187"/>
      <c r="J23" s="187"/>
      <c r="K23" s="187"/>
      <c r="L23" s="200"/>
      <c r="M23" s="199" t="s">
        <v>607</v>
      </c>
      <c r="N23" s="198"/>
      <c r="O23" s="200"/>
      <c r="P23" s="198"/>
      <c r="Q23" s="199" t="s">
        <v>629</v>
      </c>
      <c r="R23" s="187"/>
      <c r="S23" s="198"/>
      <c r="T23" s="198"/>
      <c r="U23" s="187"/>
      <c r="V23" s="187"/>
      <c r="W23" s="187"/>
      <c r="X23" s="187"/>
      <c r="Y23" s="199" t="s">
        <v>556</v>
      </c>
      <c r="Z23" s="201">
        <v>0</v>
      </c>
      <c r="AA23" s="201">
        <v>22600</v>
      </c>
      <c r="AB23" s="193">
        <f t="shared" si="1"/>
        <v>22600</v>
      </c>
      <c r="AC23" s="201">
        <v>0</v>
      </c>
      <c r="AD23" s="201">
        <v>0</v>
      </c>
      <c r="AE23" s="193">
        <f t="shared" si="2"/>
        <v>0</v>
      </c>
      <c r="AF23" s="201">
        <v>0</v>
      </c>
      <c r="AG23" s="196"/>
      <c r="AH23" s="187"/>
      <c r="AI23" s="187"/>
      <c r="AJ23" s="187"/>
      <c r="AK23" s="193">
        <f t="shared" si="3"/>
        <v>0</v>
      </c>
      <c r="AL23" s="199" t="s">
        <v>29</v>
      </c>
      <c r="AM23" s="199" t="s">
        <v>29</v>
      </c>
      <c r="AN23" s="199" t="s">
        <v>29</v>
      </c>
      <c r="AO23" s="199" t="s">
        <v>29</v>
      </c>
      <c r="AP23" s="193"/>
      <c r="AQ23" s="201">
        <v>0</v>
      </c>
      <c r="AR23" s="201">
        <v>0</v>
      </c>
      <c r="AS23" s="201">
        <v>0</v>
      </c>
      <c r="AT23" s="201">
        <v>8000</v>
      </c>
      <c r="AU23" s="201">
        <v>18150</v>
      </c>
      <c r="AV23" s="201">
        <v>186450</v>
      </c>
      <c r="AW23" s="201">
        <v>0</v>
      </c>
      <c r="AX23" s="201">
        <v>18000</v>
      </c>
      <c r="AY23" s="199" t="s">
        <v>179</v>
      </c>
      <c r="AZ23" s="199">
        <v>18000</v>
      </c>
      <c r="BA23" s="199" t="s">
        <v>29</v>
      </c>
      <c r="BB23" s="199" t="s">
        <v>29</v>
      </c>
      <c r="BC23" s="199" t="s">
        <v>29</v>
      </c>
      <c r="BD23" s="199" t="s">
        <v>29</v>
      </c>
      <c r="BE23" s="199" t="s">
        <v>29</v>
      </c>
      <c r="BF23" s="199" t="s">
        <v>29</v>
      </c>
      <c r="BG23" s="199" t="s">
        <v>29</v>
      </c>
      <c r="BH23" s="199" t="s">
        <v>29</v>
      </c>
      <c r="BI23" s="199" t="s">
        <v>29</v>
      </c>
      <c r="BJ23" s="199" t="s">
        <v>29</v>
      </c>
      <c r="BK23" s="199" t="s">
        <v>29</v>
      </c>
      <c r="BL23" s="199" t="s">
        <v>29</v>
      </c>
      <c r="BM23" s="199" t="s">
        <v>29</v>
      </c>
      <c r="BN23" s="199" t="s">
        <v>29</v>
      </c>
      <c r="BO23" s="199" t="s">
        <v>29</v>
      </c>
      <c r="BP23" s="199" t="s">
        <v>29</v>
      </c>
      <c r="BQ23" s="193"/>
      <c r="BR23" s="187">
        <v>28800</v>
      </c>
      <c r="BS23" s="202">
        <v>300000</v>
      </c>
      <c r="BT23" s="199">
        <v>281241.90000000002</v>
      </c>
      <c r="BU23" s="192" t="s">
        <v>867</v>
      </c>
      <c r="BV23" s="192" t="s">
        <v>777</v>
      </c>
      <c r="BW23" s="192">
        <v>1</v>
      </c>
      <c r="BX23" s="192" t="s">
        <v>138</v>
      </c>
      <c r="BY23" s="192" t="s">
        <v>868</v>
      </c>
      <c r="BZ23" s="192" t="s">
        <v>489</v>
      </c>
      <c r="CA23" s="192">
        <v>19</v>
      </c>
      <c r="CB23" s="192" t="s">
        <v>418</v>
      </c>
      <c r="CC23" s="192" t="s">
        <v>869</v>
      </c>
      <c r="CD23" s="192" t="s">
        <v>489</v>
      </c>
      <c r="CE23" s="192">
        <v>893</v>
      </c>
      <c r="CF23" s="192" t="s">
        <v>488</v>
      </c>
      <c r="CG23" s="192" t="s">
        <v>870</v>
      </c>
      <c r="CH23" s="192" t="s">
        <v>97</v>
      </c>
      <c r="CI23" s="192">
        <v>67</v>
      </c>
      <c r="CJ23" s="192" t="s">
        <v>466</v>
      </c>
      <c r="CK23" s="192" t="s">
        <v>871</v>
      </c>
      <c r="CL23" s="192" t="s">
        <v>97</v>
      </c>
      <c r="CM23" s="192">
        <v>16</v>
      </c>
      <c r="CN23" s="192" t="s">
        <v>137</v>
      </c>
      <c r="CO23" s="192" t="s">
        <v>872</v>
      </c>
      <c r="CP23" s="192" t="s">
        <v>97</v>
      </c>
      <c r="CQ23" s="192">
        <v>300</v>
      </c>
      <c r="CR23" s="192" t="s">
        <v>137</v>
      </c>
      <c r="CS23" s="192" t="s">
        <v>873</v>
      </c>
      <c r="CT23" s="192" t="s">
        <v>416</v>
      </c>
      <c r="CU23" s="192" t="s">
        <v>874</v>
      </c>
      <c r="CV23" s="192" t="s">
        <v>733</v>
      </c>
      <c r="CW23" s="192" t="s">
        <v>875</v>
      </c>
      <c r="CX23" s="192" t="s">
        <v>97</v>
      </c>
      <c r="CY23" s="192">
        <v>16</v>
      </c>
      <c r="CZ23" s="192" t="s">
        <v>134</v>
      </c>
      <c r="DA23" s="192" t="s">
        <v>876</v>
      </c>
      <c r="DB23" s="192" t="s">
        <v>749</v>
      </c>
      <c r="DC23" s="192" t="s">
        <v>877</v>
      </c>
      <c r="DD23" s="192" t="s">
        <v>730</v>
      </c>
      <c r="DE23" s="192" t="s">
        <v>878</v>
      </c>
      <c r="DF23" s="192" t="s">
        <v>97</v>
      </c>
      <c r="DG23" s="192">
        <v>2</v>
      </c>
      <c r="DH23" s="192" t="s">
        <v>137</v>
      </c>
      <c r="DI23" s="192" t="s">
        <v>879</v>
      </c>
      <c r="DJ23" s="192" t="s">
        <v>416</v>
      </c>
      <c r="DK23" s="192" t="s">
        <v>880</v>
      </c>
      <c r="DL23" s="192" t="s">
        <v>733</v>
      </c>
      <c r="DM23" s="192" t="s">
        <v>316</v>
      </c>
      <c r="DN23" s="192" t="s">
        <v>316</v>
      </c>
      <c r="DO23" s="192" t="s">
        <v>316</v>
      </c>
      <c r="DP23" s="192" t="s">
        <v>316</v>
      </c>
      <c r="DQ23" s="192" t="s">
        <v>316</v>
      </c>
      <c r="DR23" s="192" t="s">
        <v>316</v>
      </c>
      <c r="DS23" s="192" t="s">
        <v>316</v>
      </c>
      <c r="DT23" s="192" t="s">
        <v>316</v>
      </c>
      <c r="DU23" s="192" t="s">
        <v>316</v>
      </c>
      <c r="DV23" s="192" t="s">
        <v>316</v>
      </c>
      <c r="DW23" s="192" t="s">
        <v>316</v>
      </c>
      <c r="DX23" s="192" t="s">
        <v>316</v>
      </c>
      <c r="DY23" s="192" t="s">
        <v>316</v>
      </c>
      <c r="DZ23" s="192" t="s">
        <v>316</v>
      </c>
      <c r="EA23" s="192" t="s">
        <v>316</v>
      </c>
      <c r="EB23" s="192" t="s">
        <v>316</v>
      </c>
      <c r="EC23" s="192" t="s">
        <v>29</v>
      </c>
      <c r="ED23" s="192" t="s">
        <v>29</v>
      </c>
      <c r="EE23" s="192" t="s">
        <v>29</v>
      </c>
      <c r="EF23" s="192" t="s">
        <v>29</v>
      </c>
      <c r="EG23" s="192" t="s">
        <v>29</v>
      </c>
      <c r="EH23" s="192" t="s">
        <v>29</v>
      </c>
      <c r="EI23" s="192" t="s">
        <v>29</v>
      </c>
      <c r="EJ23" s="192" t="s">
        <v>29</v>
      </c>
      <c r="EK23" s="192" t="s">
        <v>29</v>
      </c>
      <c r="EL23" s="192" t="s">
        <v>29</v>
      </c>
      <c r="EM23" s="192" t="s">
        <v>29</v>
      </c>
      <c r="EN23" s="192" t="s">
        <v>29</v>
      </c>
    </row>
    <row r="24" spans="1:144" ht="15">
      <c r="A24" s="187" t="str">
        <f t="shared" si="0"/>
        <v>MIZPP05000408328A</v>
      </c>
      <c r="B24" s="197" t="s">
        <v>170</v>
      </c>
      <c r="C24" s="198" t="s">
        <v>226</v>
      </c>
      <c r="D24" s="199" t="s">
        <v>1093</v>
      </c>
      <c r="E24" s="199" t="s">
        <v>249</v>
      </c>
      <c r="F24" s="199" t="s">
        <v>605</v>
      </c>
      <c r="G24" s="187"/>
      <c r="H24" s="198"/>
      <c r="I24" s="187"/>
      <c r="J24" s="187"/>
      <c r="K24" s="187"/>
      <c r="L24" s="200"/>
      <c r="M24" s="199" t="s">
        <v>605</v>
      </c>
      <c r="N24" s="198"/>
      <c r="O24" s="200"/>
      <c r="P24" s="198"/>
      <c r="Q24" s="199" t="s">
        <v>627</v>
      </c>
      <c r="R24" s="187"/>
      <c r="S24" s="198"/>
      <c r="T24" s="198"/>
      <c r="U24" s="187"/>
      <c r="V24" s="187"/>
      <c r="W24" s="187"/>
      <c r="X24" s="187"/>
      <c r="Y24" s="199" t="s">
        <v>557</v>
      </c>
      <c r="Z24" s="201">
        <v>100000</v>
      </c>
      <c r="AA24" s="201">
        <v>0</v>
      </c>
      <c r="AB24" s="193">
        <f t="shared" si="1"/>
        <v>100000</v>
      </c>
      <c r="AC24" s="201">
        <v>0</v>
      </c>
      <c r="AD24" s="201">
        <v>0</v>
      </c>
      <c r="AE24" s="193">
        <f t="shared" si="2"/>
        <v>0</v>
      </c>
      <c r="AF24" s="201">
        <v>0</v>
      </c>
      <c r="AG24" s="196"/>
      <c r="AH24" s="187"/>
      <c r="AI24" s="187"/>
      <c r="AJ24" s="187"/>
      <c r="AK24" s="193">
        <f t="shared" si="3"/>
        <v>0</v>
      </c>
      <c r="AL24" s="199" t="s">
        <v>29</v>
      </c>
      <c r="AM24" s="199" t="s">
        <v>29</v>
      </c>
      <c r="AN24" s="199" t="s">
        <v>29</v>
      </c>
      <c r="AO24" s="199" t="s">
        <v>29</v>
      </c>
      <c r="AP24" s="193"/>
      <c r="AQ24" s="201">
        <v>0</v>
      </c>
      <c r="AR24" s="201">
        <v>0</v>
      </c>
      <c r="AS24" s="201">
        <v>5000</v>
      </c>
      <c r="AT24" s="201">
        <v>1500</v>
      </c>
      <c r="AU24" s="201">
        <v>7500</v>
      </c>
      <c r="AV24" s="201">
        <v>0</v>
      </c>
      <c r="AW24" s="201">
        <v>3000</v>
      </c>
      <c r="AX24" s="201">
        <v>0</v>
      </c>
      <c r="AY24" s="199" t="s">
        <v>96</v>
      </c>
      <c r="AZ24" s="199">
        <v>15000</v>
      </c>
      <c r="BA24" s="199" t="s">
        <v>674</v>
      </c>
      <c r="BB24" s="199">
        <v>18000</v>
      </c>
      <c r="BC24" s="199" t="s">
        <v>675</v>
      </c>
      <c r="BD24" s="199">
        <v>48000</v>
      </c>
      <c r="BE24" s="199" t="s">
        <v>676</v>
      </c>
      <c r="BF24" s="199">
        <v>65000</v>
      </c>
      <c r="BG24" s="199" t="s">
        <v>29</v>
      </c>
      <c r="BH24" s="199" t="s">
        <v>29</v>
      </c>
      <c r="BI24" s="199" t="s">
        <v>29</v>
      </c>
      <c r="BJ24" s="199" t="s">
        <v>29</v>
      </c>
      <c r="BK24" s="199" t="s">
        <v>29</v>
      </c>
      <c r="BL24" s="199" t="s">
        <v>29</v>
      </c>
      <c r="BM24" s="199" t="s">
        <v>29</v>
      </c>
      <c r="BN24" s="199" t="s">
        <v>29</v>
      </c>
      <c r="BO24" s="199" t="s">
        <v>29</v>
      </c>
      <c r="BP24" s="199" t="s">
        <v>29</v>
      </c>
      <c r="BQ24" s="193"/>
      <c r="BR24" s="187">
        <v>30000</v>
      </c>
      <c r="BS24" s="202">
        <v>293000</v>
      </c>
      <c r="BT24" s="199">
        <v>154063</v>
      </c>
      <c r="BU24" s="192" t="s">
        <v>881</v>
      </c>
      <c r="BV24" s="192" t="s">
        <v>144</v>
      </c>
      <c r="BW24" s="192">
        <v>150</v>
      </c>
      <c r="BX24" s="192" t="s">
        <v>139</v>
      </c>
      <c r="BY24" s="192" t="s">
        <v>882</v>
      </c>
      <c r="BZ24" s="192" t="s">
        <v>144</v>
      </c>
      <c r="CA24" s="192">
        <v>144</v>
      </c>
      <c r="CB24" s="192" t="s">
        <v>139</v>
      </c>
      <c r="CC24" s="192" t="s">
        <v>883</v>
      </c>
      <c r="CD24" s="192" t="s">
        <v>144</v>
      </c>
      <c r="CE24" s="192">
        <v>80</v>
      </c>
      <c r="CF24" s="192" t="s">
        <v>139</v>
      </c>
      <c r="CG24" s="192" t="s">
        <v>884</v>
      </c>
      <c r="CH24" s="192" t="s">
        <v>414</v>
      </c>
      <c r="CI24" s="192">
        <v>15</v>
      </c>
      <c r="CJ24" s="192" t="s">
        <v>806</v>
      </c>
      <c r="CK24" s="192" t="s">
        <v>885</v>
      </c>
      <c r="CL24" s="192" t="s">
        <v>97</v>
      </c>
      <c r="CM24" s="192">
        <v>15</v>
      </c>
      <c r="CN24" s="192" t="s">
        <v>134</v>
      </c>
      <c r="CO24" s="192" t="s">
        <v>886</v>
      </c>
      <c r="CP24" s="192" t="s">
        <v>97</v>
      </c>
      <c r="CQ24" s="192">
        <v>2</v>
      </c>
      <c r="CR24" s="192" t="s">
        <v>137</v>
      </c>
      <c r="CS24" s="192" t="s">
        <v>887</v>
      </c>
      <c r="CT24" s="192" t="s">
        <v>416</v>
      </c>
      <c r="CU24" s="192">
        <v>550</v>
      </c>
      <c r="CV24" s="192" t="s">
        <v>733</v>
      </c>
      <c r="CW24" s="192" t="s">
        <v>888</v>
      </c>
      <c r="CX24" s="192" t="s">
        <v>749</v>
      </c>
      <c r="CY24" s="192">
        <v>750</v>
      </c>
      <c r="CZ24" s="192" t="s">
        <v>730</v>
      </c>
      <c r="DA24" s="192" t="s">
        <v>889</v>
      </c>
      <c r="DB24" s="192" t="s">
        <v>725</v>
      </c>
      <c r="DC24" s="192">
        <v>5988</v>
      </c>
      <c r="DD24" s="192" t="s">
        <v>726</v>
      </c>
      <c r="DE24" s="192" t="s">
        <v>316</v>
      </c>
      <c r="DF24" s="192" t="s">
        <v>316</v>
      </c>
      <c r="DG24" s="192" t="s">
        <v>316</v>
      </c>
      <c r="DH24" s="192" t="s">
        <v>316</v>
      </c>
      <c r="DI24" s="192" t="s">
        <v>316</v>
      </c>
      <c r="DJ24" s="192" t="s">
        <v>316</v>
      </c>
      <c r="DK24" s="192" t="s">
        <v>316</v>
      </c>
      <c r="DL24" s="192" t="s">
        <v>316</v>
      </c>
      <c r="DM24" s="192" t="s">
        <v>316</v>
      </c>
      <c r="DN24" s="192" t="s">
        <v>316</v>
      </c>
      <c r="DO24" s="192" t="s">
        <v>316</v>
      </c>
      <c r="DP24" s="192" t="s">
        <v>316</v>
      </c>
      <c r="DQ24" s="192" t="s">
        <v>316</v>
      </c>
      <c r="DR24" s="192" t="s">
        <v>316</v>
      </c>
      <c r="DS24" s="192" t="s">
        <v>316</v>
      </c>
      <c r="DT24" s="192" t="s">
        <v>316</v>
      </c>
      <c r="DU24" s="192" t="s">
        <v>316</v>
      </c>
      <c r="DV24" s="192" t="s">
        <v>316</v>
      </c>
      <c r="DW24" s="192" t="s">
        <v>316</v>
      </c>
      <c r="DX24" s="192" t="s">
        <v>316</v>
      </c>
      <c r="DY24" s="192" t="s">
        <v>316</v>
      </c>
      <c r="DZ24" s="192" t="s">
        <v>316</v>
      </c>
      <c r="EA24" s="192" t="s">
        <v>316</v>
      </c>
      <c r="EB24" s="192" t="s">
        <v>316</v>
      </c>
      <c r="EC24" s="192" t="s">
        <v>29</v>
      </c>
      <c r="ED24" s="192" t="s">
        <v>29</v>
      </c>
      <c r="EE24" s="192" t="s">
        <v>29</v>
      </c>
      <c r="EF24" s="192" t="s">
        <v>29</v>
      </c>
      <c r="EG24" s="192" t="s">
        <v>29</v>
      </c>
      <c r="EH24" s="192" t="s">
        <v>29</v>
      </c>
      <c r="EI24" s="192" t="s">
        <v>29</v>
      </c>
      <c r="EJ24" s="192" t="s">
        <v>29</v>
      </c>
      <c r="EK24" s="192" t="s">
        <v>29</v>
      </c>
      <c r="EL24" s="192" t="s">
        <v>29</v>
      </c>
      <c r="EM24" s="192" t="s">
        <v>29</v>
      </c>
      <c r="EN24" s="192" t="s">
        <v>29</v>
      </c>
    </row>
    <row r="25" spans="1:144" ht="15">
      <c r="A25" s="187" t="str">
        <f t="shared" si="0"/>
        <v>MIZPP05200103764A</v>
      </c>
      <c r="B25" s="197" t="s">
        <v>522</v>
      </c>
      <c r="C25" s="198" t="s">
        <v>226</v>
      </c>
      <c r="D25" s="199" t="s">
        <v>1096</v>
      </c>
      <c r="E25" s="199" t="s">
        <v>247</v>
      </c>
      <c r="F25" s="199" t="s">
        <v>604</v>
      </c>
      <c r="G25" s="187"/>
      <c r="H25" s="198"/>
      <c r="I25" s="187"/>
      <c r="J25" s="187"/>
      <c r="K25" s="187"/>
      <c r="L25" s="200"/>
      <c r="M25" s="199" t="s">
        <v>604</v>
      </c>
      <c r="N25" s="198"/>
      <c r="O25" s="200"/>
      <c r="P25" s="198"/>
      <c r="Q25" s="199" t="s">
        <v>263</v>
      </c>
      <c r="R25" s="187"/>
      <c r="S25" s="198"/>
      <c r="T25" s="198"/>
      <c r="U25" s="187"/>
      <c r="V25" s="187"/>
      <c r="W25" s="187"/>
      <c r="X25" s="187"/>
      <c r="Y25" s="199" t="s">
        <v>558</v>
      </c>
      <c r="Z25" s="201">
        <v>130000</v>
      </c>
      <c r="AA25" s="201">
        <v>0</v>
      </c>
      <c r="AB25" s="193">
        <f t="shared" si="1"/>
        <v>130000</v>
      </c>
      <c r="AC25" s="201">
        <v>0</v>
      </c>
      <c r="AD25" s="201">
        <v>0</v>
      </c>
      <c r="AE25" s="193">
        <f t="shared" si="2"/>
        <v>0</v>
      </c>
      <c r="AF25" s="201">
        <v>154000</v>
      </c>
      <c r="AG25" s="196"/>
      <c r="AH25" s="187"/>
      <c r="AI25" s="187"/>
      <c r="AJ25" s="187"/>
      <c r="AK25" s="193">
        <f t="shared" si="3"/>
        <v>154000</v>
      </c>
      <c r="AL25" s="199" t="s">
        <v>29</v>
      </c>
      <c r="AM25" s="199" t="s">
        <v>29</v>
      </c>
      <c r="AN25" s="199" t="s">
        <v>29</v>
      </c>
      <c r="AO25" s="199" t="s">
        <v>29</v>
      </c>
      <c r="AP25" s="193"/>
      <c r="AQ25" s="201">
        <v>4000</v>
      </c>
      <c r="AR25" s="201">
        <v>0</v>
      </c>
      <c r="AS25" s="201">
        <v>2000</v>
      </c>
      <c r="AT25" s="201">
        <v>0</v>
      </c>
      <c r="AU25" s="201">
        <v>0</v>
      </c>
      <c r="AV25" s="201">
        <v>0</v>
      </c>
      <c r="AW25" s="201">
        <v>5000</v>
      </c>
      <c r="AX25" s="201">
        <v>0</v>
      </c>
      <c r="AY25" s="199" t="s">
        <v>642</v>
      </c>
      <c r="AZ25" s="199">
        <v>0</v>
      </c>
      <c r="BA25" s="199" t="s">
        <v>29</v>
      </c>
      <c r="BB25" s="199" t="s">
        <v>29</v>
      </c>
      <c r="BC25" s="199" t="s">
        <v>29</v>
      </c>
      <c r="BD25" s="199" t="s">
        <v>29</v>
      </c>
      <c r="BE25" s="199" t="s">
        <v>29</v>
      </c>
      <c r="BF25" s="199" t="s">
        <v>29</v>
      </c>
      <c r="BG25" s="199" t="s">
        <v>29</v>
      </c>
      <c r="BH25" s="199" t="s">
        <v>29</v>
      </c>
      <c r="BI25" s="199" t="s">
        <v>29</v>
      </c>
      <c r="BJ25" s="199" t="s">
        <v>29</v>
      </c>
      <c r="BK25" s="199" t="s">
        <v>29</v>
      </c>
      <c r="BL25" s="199" t="s">
        <v>29</v>
      </c>
      <c r="BM25" s="199" t="s">
        <v>29</v>
      </c>
      <c r="BN25" s="199" t="s">
        <v>29</v>
      </c>
      <c r="BO25" s="199" t="s">
        <v>29</v>
      </c>
      <c r="BP25" s="199" t="s">
        <v>29</v>
      </c>
      <c r="BQ25" s="193"/>
      <c r="BR25" s="187">
        <v>5000</v>
      </c>
      <c r="BS25" s="202">
        <v>300000</v>
      </c>
      <c r="BT25" s="199">
        <v>316896</v>
      </c>
      <c r="BU25" s="192" t="s">
        <v>433</v>
      </c>
      <c r="BV25" s="192" t="s">
        <v>97</v>
      </c>
      <c r="BW25" s="192">
        <v>500</v>
      </c>
      <c r="BX25" s="192" t="s">
        <v>466</v>
      </c>
      <c r="BY25" s="192" t="s">
        <v>890</v>
      </c>
      <c r="BZ25" s="192" t="s">
        <v>194</v>
      </c>
      <c r="CA25" s="192">
        <v>150</v>
      </c>
      <c r="CB25" s="192" t="s">
        <v>430</v>
      </c>
      <c r="CC25" s="192" t="s">
        <v>891</v>
      </c>
      <c r="CD25" s="192" t="s">
        <v>144</v>
      </c>
      <c r="CE25" s="192">
        <v>20175</v>
      </c>
      <c r="CF25" s="192" t="s">
        <v>488</v>
      </c>
      <c r="CG25" s="192" t="s">
        <v>892</v>
      </c>
      <c r="CH25" s="192" t="s">
        <v>97</v>
      </c>
      <c r="CI25" s="192">
        <v>4</v>
      </c>
      <c r="CJ25" s="192" t="s">
        <v>137</v>
      </c>
      <c r="CK25" s="192" t="s">
        <v>893</v>
      </c>
      <c r="CL25" s="192" t="s">
        <v>416</v>
      </c>
      <c r="CM25" s="192">
        <v>675</v>
      </c>
      <c r="CN25" s="192" t="s">
        <v>733</v>
      </c>
      <c r="CO25" s="192" t="s">
        <v>894</v>
      </c>
      <c r="CP25" s="192" t="s">
        <v>97</v>
      </c>
      <c r="CQ25" s="192">
        <v>3</v>
      </c>
      <c r="CR25" s="192" t="s">
        <v>466</v>
      </c>
      <c r="CS25" s="192" t="s">
        <v>894</v>
      </c>
      <c r="CT25" s="192" t="s">
        <v>144</v>
      </c>
      <c r="CU25" s="192">
        <v>50</v>
      </c>
      <c r="CV25" s="192" t="s">
        <v>488</v>
      </c>
      <c r="CW25" s="192" t="s">
        <v>434</v>
      </c>
      <c r="CX25" s="192" t="s">
        <v>97</v>
      </c>
      <c r="CY25" s="192">
        <v>10</v>
      </c>
      <c r="CZ25" s="192" t="s">
        <v>137</v>
      </c>
      <c r="DA25" s="192" t="s">
        <v>434</v>
      </c>
      <c r="DB25" s="192" t="s">
        <v>416</v>
      </c>
      <c r="DC25" s="192">
        <v>500</v>
      </c>
      <c r="DD25" s="192" t="s">
        <v>733</v>
      </c>
      <c r="DE25" s="192" t="s">
        <v>101</v>
      </c>
      <c r="DF25" s="192" t="s">
        <v>97</v>
      </c>
      <c r="DG25" s="192">
        <v>25</v>
      </c>
      <c r="DH25" s="192" t="s">
        <v>134</v>
      </c>
      <c r="DI25" s="192" t="s">
        <v>101</v>
      </c>
      <c r="DJ25" s="192" t="s">
        <v>729</v>
      </c>
      <c r="DK25" s="192">
        <v>10000</v>
      </c>
      <c r="DL25" s="192" t="s">
        <v>895</v>
      </c>
      <c r="DM25" s="192" t="s">
        <v>140</v>
      </c>
      <c r="DN25" s="192" t="s">
        <v>97</v>
      </c>
      <c r="DO25" s="192">
        <v>4</v>
      </c>
      <c r="DP25" s="192" t="s">
        <v>137</v>
      </c>
      <c r="DQ25" s="192" t="s">
        <v>140</v>
      </c>
      <c r="DR25" s="192" t="s">
        <v>416</v>
      </c>
      <c r="DS25" s="192">
        <v>10000</v>
      </c>
      <c r="DT25" s="192" t="s">
        <v>733</v>
      </c>
      <c r="DU25" s="192" t="s">
        <v>896</v>
      </c>
      <c r="DV25" s="192" t="s">
        <v>97</v>
      </c>
      <c r="DW25" s="192">
        <v>2</v>
      </c>
      <c r="DX25" s="192" t="s">
        <v>137</v>
      </c>
      <c r="DY25" s="192" t="s">
        <v>897</v>
      </c>
      <c r="DZ25" s="192" t="s">
        <v>416</v>
      </c>
      <c r="EA25" s="192">
        <v>200</v>
      </c>
      <c r="EB25" s="192" t="s">
        <v>733</v>
      </c>
      <c r="EC25" s="192" t="s">
        <v>29</v>
      </c>
      <c r="ED25" s="192" t="s">
        <v>29</v>
      </c>
      <c r="EE25" s="192" t="s">
        <v>29</v>
      </c>
      <c r="EF25" s="192" t="s">
        <v>29</v>
      </c>
      <c r="EG25" s="192" t="s">
        <v>29</v>
      </c>
      <c r="EH25" s="192" t="s">
        <v>29</v>
      </c>
      <c r="EI25" s="192" t="s">
        <v>29</v>
      </c>
      <c r="EJ25" s="192" t="s">
        <v>29</v>
      </c>
      <c r="EK25" s="192" t="s">
        <v>29</v>
      </c>
      <c r="EL25" s="192" t="s">
        <v>29</v>
      </c>
      <c r="EM25" s="192" t="s">
        <v>29</v>
      </c>
      <c r="EN25" s="192" t="s">
        <v>29</v>
      </c>
    </row>
    <row r="26" spans="1:144" ht="15">
      <c r="A26" s="187" t="str">
        <f t="shared" si="0"/>
        <v>MIZPP05304759583A</v>
      </c>
      <c r="B26" s="197" t="s">
        <v>232</v>
      </c>
      <c r="C26" s="198" t="s">
        <v>226</v>
      </c>
      <c r="D26" s="199" t="s">
        <v>1097</v>
      </c>
      <c r="E26" s="199" t="s">
        <v>246</v>
      </c>
      <c r="F26" s="199" t="s">
        <v>252</v>
      </c>
      <c r="G26" s="187"/>
      <c r="H26" s="198"/>
      <c r="I26" s="187"/>
      <c r="J26" s="187"/>
      <c r="K26" s="187"/>
      <c r="L26" s="200"/>
      <c r="M26" s="199" t="s">
        <v>252</v>
      </c>
      <c r="N26" s="198"/>
      <c r="O26" s="200"/>
      <c r="P26" s="198"/>
      <c r="Q26" s="199" t="s">
        <v>260</v>
      </c>
      <c r="R26" s="187"/>
      <c r="S26" s="198"/>
      <c r="T26" s="198"/>
      <c r="U26" s="187"/>
      <c r="V26" s="187"/>
      <c r="W26" s="187"/>
      <c r="X26" s="187"/>
      <c r="Y26" s="199" t="s">
        <v>277</v>
      </c>
      <c r="Z26" s="201">
        <v>240000</v>
      </c>
      <c r="AA26" s="201">
        <v>0</v>
      </c>
      <c r="AB26" s="193">
        <f t="shared" si="1"/>
        <v>240000</v>
      </c>
      <c r="AC26" s="201">
        <v>0</v>
      </c>
      <c r="AD26" s="201">
        <v>0</v>
      </c>
      <c r="AE26" s="193">
        <f t="shared" si="2"/>
        <v>0</v>
      </c>
      <c r="AF26" s="201">
        <v>15000</v>
      </c>
      <c r="AG26" s="196"/>
      <c r="AH26" s="187"/>
      <c r="AI26" s="187"/>
      <c r="AJ26" s="187"/>
      <c r="AK26" s="193">
        <f t="shared" si="3"/>
        <v>15000</v>
      </c>
      <c r="AL26" s="199" t="s">
        <v>29</v>
      </c>
      <c r="AM26" s="199" t="s">
        <v>29</v>
      </c>
      <c r="AN26" s="199" t="s">
        <v>29</v>
      </c>
      <c r="AO26" s="199" t="s">
        <v>29</v>
      </c>
      <c r="AP26" s="193"/>
      <c r="AQ26" s="201">
        <v>35000</v>
      </c>
      <c r="AR26" s="201">
        <v>0</v>
      </c>
      <c r="AS26" s="201">
        <v>0</v>
      </c>
      <c r="AT26" s="201">
        <v>10000</v>
      </c>
      <c r="AU26" s="201">
        <v>0</v>
      </c>
      <c r="AV26" s="201">
        <v>0</v>
      </c>
      <c r="AW26" s="201">
        <v>0</v>
      </c>
      <c r="AX26" s="201">
        <v>0</v>
      </c>
      <c r="AY26" s="199" t="s">
        <v>677</v>
      </c>
      <c r="AZ26" s="199">
        <v>0</v>
      </c>
      <c r="BA26" s="199" t="s">
        <v>29</v>
      </c>
      <c r="BB26" s="199" t="s">
        <v>29</v>
      </c>
      <c r="BC26" s="199" t="s">
        <v>29</v>
      </c>
      <c r="BD26" s="199" t="s">
        <v>29</v>
      </c>
      <c r="BE26" s="199" t="s">
        <v>29</v>
      </c>
      <c r="BF26" s="199" t="s">
        <v>29</v>
      </c>
      <c r="BG26" s="199" t="s">
        <v>29</v>
      </c>
      <c r="BH26" s="199" t="s">
        <v>29</v>
      </c>
      <c r="BI26" s="199" t="s">
        <v>29</v>
      </c>
      <c r="BJ26" s="199" t="s">
        <v>29</v>
      </c>
      <c r="BK26" s="199" t="s">
        <v>29</v>
      </c>
      <c r="BL26" s="199" t="s">
        <v>29</v>
      </c>
      <c r="BM26" s="199" t="s">
        <v>29</v>
      </c>
      <c r="BN26" s="199" t="s">
        <v>29</v>
      </c>
      <c r="BO26" s="199" t="s">
        <v>29</v>
      </c>
      <c r="BP26" s="199" t="s">
        <v>29</v>
      </c>
      <c r="BQ26" s="193"/>
      <c r="BR26" s="187">
        <v>0</v>
      </c>
      <c r="BS26" s="202">
        <v>300000</v>
      </c>
      <c r="BT26" s="199">
        <v>130000</v>
      </c>
      <c r="BU26" s="192" t="s">
        <v>898</v>
      </c>
      <c r="BV26" s="192" t="s">
        <v>97</v>
      </c>
      <c r="BW26" s="192">
        <v>50</v>
      </c>
      <c r="BX26" s="192" t="s">
        <v>466</v>
      </c>
      <c r="BY26" s="192" t="s">
        <v>428</v>
      </c>
      <c r="BZ26" s="192" t="s">
        <v>489</v>
      </c>
      <c r="CA26" s="192">
        <v>500</v>
      </c>
      <c r="CB26" s="192" t="s">
        <v>488</v>
      </c>
      <c r="CC26" s="192" t="s">
        <v>134</v>
      </c>
      <c r="CD26" s="192" t="s">
        <v>97</v>
      </c>
      <c r="CE26" s="192">
        <v>200</v>
      </c>
      <c r="CF26" s="192" t="s">
        <v>134</v>
      </c>
      <c r="CG26" s="192" t="s">
        <v>758</v>
      </c>
      <c r="CH26" s="192" t="s">
        <v>729</v>
      </c>
      <c r="CI26" s="192">
        <v>2000</v>
      </c>
      <c r="CJ26" s="192" t="s">
        <v>730</v>
      </c>
      <c r="CK26" s="192" t="s">
        <v>429</v>
      </c>
      <c r="CL26" s="192" t="s">
        <v>194</v>
      </c>
      <c r="CM26" s="192">
        <v>1</v>
      </c>
      <c r="CN26" s="192" t="s">
        <v>430</v>
      </c>
      <c r="CO26" s="192" t="s">
        <v>899</v>
      </c>
      <c r="CP26" s="192" t="s">
        <v>777</v>
      </c>
      <c r="CQ26" s="192">
        <v>5</v>
      </c>
      <c r="CR26" s="192" t="s">
        <v>138</v>
      </c>
      <c r="CS26" s="192" t="s">
        <v>900</v>
      </c>
      <c r="CT26" s="192" t="s">
        <v>489</v>
      </c>
      <c r="CU26" s="192">
        <v>50</v>
      </c>
      <c r="CV26" s="192" t="s">
        <v>418</v>
      </c>
      <c r="CW26" s="192" t="s">
        <v>423</v>
      </c>
      <c r="CX26" s="192" t="s">
        <v>735</v>
      </c>
      <c r="CY26" s="192">
        <v>9</v>
      </c>
      <c r="CZ26" s="192" t="s">
        <v>423</v>
      </c>
      <c r="DA26" s="192" t="s">
        <v>139</v>
      </c>
      <c r="DB26" s="192" t="s">
        <v>144</v>
      </c>
      <c r="DC26" s="192">
        <v>8</v>
      </c>
      <c r="DD26" s="192" t="s">
        <v>139</v>
      </c>
      <c r="DE26" s="192" t="s">
        <v>726</v>
      </c>
      <c r="DF26" s="192" t="s">
        <v>725</v>
      </c>
      <c r="DG26" s="192">
        <v>100</v>
      </c>
      <c r="DH26" s="192" t="s">
        <v>726</v>
      </c>
      <c r="DI26" s="192" t="s">
        <v>901</v>
      </c>
      <c r="DJ26" s="192" t="s">
        <v>97</v>
      </c>
      <c r="DK26" s="192">
        <v>3</v>
      </c>
      <c r="DL26" s="192" t="s">
        <v>466</v>
      </c>
      <c r="DM26" s="192" t="s">
        <v>902</v>
      </c>
      <c r="DN26" s="192" t="s">
        <v>489</v>
      </c>
      <c r="DO26" s="192">
        <v>30</v>
      </c>
      <c r="DP26" s="192" t="s">
        <v>488</v>
      </c>
      <c r="DQ26" s="192" t="s">
        <v>316</v>
      </c>
      <c r="DR26" s="192" t="s">
        <v>316</v>
      </c>
      <c r="DS26" s="192" t="s">
        <v>316</v>
      </c>
      <c r="DT26" s="192" t="s">
        <v>316</v>
      </c>
      <c r="DU26" s="192" t="s">
        <v>316</v>
      </c>
      <c r="DV26" s="192" t="s">
        <v>316</v>
      </c>
      <c r="DW26" s="192" t="s">
        <v>316</v>
      </c>
      <c r="DX26" s="192" t="s">
        <v>316</v>
      </c>
      <c r="DY26" s="192" t="s">
        <v>316</v>
      </c>
      <c r="DZ26" s="192" t="s">
        <v>316</v>
      </c>
      <c r="EA26" s="192" t="s">
        <v>316</v>
      </c>
      <c r="EB26" s="192" t="s">
        <v>316</v>
      </c>
      <c r="EC26" s="192" t="s">
        <v>29</v>
      </c>
      <c r="ED26" s="192" t="s">
        <v>29</v>
      </c>
      <c r="EE26" s="192" t="s">
        <v>29</v>
      </c>
      <c r="EF26" s="192" t="s">
        <v>29</v>
      </c>
      <c r="EG26" s="192" t="s">
        <v>29</v>
      </c>
      <c r="EH26" s="192" t="s">
        <v>29</v>
      </c>
      <c r="EI26" s="192" t="s">
        <v>29</v>
      </c>
      <c r="EJ26" s="192" t="s">
        <v>29</v>
      </c>
      <c r="EK26" s="192" t="s">
        <v>29</v>
      </c>
      <c r="EL26" s="192" t="s">
        <v>29</v>
      </c>
      <c r="EM26" s="192" t="s">
        <v>29</v>
      </c>
      <c r="EN26" s="192" t="s">
        <v>29</v>
      </c>
    </row>
    <row r="27" spans="1:144" ht="15">
      <c r="A27" s="187" t="str">
        <f t="shared" si="0"/>
        <v>MIZPP05749629549A</v>
      </c>
      <c r="B27" s="197" t="s">
        <v>233</v>
      </c>
      <c r="C27" s="198" t="s">
        <v>226</v>
      </c>
      <c r="D27" s="199" t="s">
        <v>1088</v>
      </c>
      <c r="E27" s="199">
        <v>49629549</v>
      </c>
      <c r="F27" s="199" t="s">
        <v>599</v>
      </c>
      <c r="G27" s="187"/>
      <c r="H27" s="198"/>
      <c r="I27" s="187"/>
      <c r="J27" s="187"/>
      <c r="K27" s="187"/>
      <c r="L27" s="200"/>
      <c r="M27" s="199" t="s">
        <v>599</v>
      </c>
      <c r="N27" s="198"/>
      <c r="O27" s="200"/>
      <c r="P27" s="198"/>
      <c r="Q27" s="199" t="s">
        <v>262</v>
      </c>
      <c r="R27" s="187"/>
      <c r="S27" s="198"/>
      <c r="T27" s="198"/>
      <c r="U27" s="187"/>
      <c r="V27" s="187"/>
      <c r="W27" s="187"/>
      <c r="X27" s="187"/>
      <c r="Y27" s="199" t="s">
        <v>559</v>
      </c>
      <c r="Z27" s="201">
        <v>135000</v>
      </c>
      <c r="AA27" s="201">
        <v>0</v>
      </c>
      <c r="AB27" s="193">
        <f t="shared" si="1"/>
        <v>135000</v>
      </c>
      <c r="AC27" s="201">
        <v>0</v>
      </c>
      <c r="AD27" s="201">
        <v>0</v>
      </c>
      <c r="AE27" s="193">
        <f t="shared" si="2"/>
        <v>0</v>
      </c>
      <c r="AF27" s="201">
        <v>40000</v>
      </c>
      <c r="AG27" s="196"/>
      <c r="AH27" s="187"/>
      <c r="AI27" s="187"/>
      <c r="AJ27" s="187"/>
      <c r="AK27" s="193">
        <f t="shared" si="3"/>
        <v>40000</v>
      </c>
      <c r="AL27" s="199" t="s">
        <v>29</v>
      </c>
      <c r="AM27" s="199" t="s">
        <v>29</v>
      </c>
      <c r="AN27" s="199" t="s">
        <v>29</v>
      </c>
      <c r="AO27" s="199" t="s">
        <v>29</v>
      </c>
      <c r="AP27" s="193"/>
      <c r="AQ27" s="201">
        <v>0</v>
      </c>
      <c r="AR27" s="201">
        <v>0</v>
      </c>
      <c r="AS27" s="201">
        <v>0</v>
      </c>
      <c r="AT27" s="201">
        <v>5000</v>
      </c>
      <c r="AU27" s="201">
        <v>13000</v>
      </c>
      <c r="AV27" s="201">
        <v>0</v>
      </c>
      <c r="AW27" s="201">
        <v>0</v>
      </c>
      <c r="AX27" s="201">
        <v>0</v>
      </c>
      <c r="AY27" s="199" t="s">
        <v>678</v>
      </c>
      <c r="AZ27" s="199">
        <v>53760</v>
      </c>
      <c r="BA27" s="199" t="s">
        <v>29</v>
      </c>
      <c r="BB27" s="199" t="s">
        <v>29</v>
      </c>
      <c r="BC27" s="199" t="s">
        <v>29</v>
      </c>
      <c r="BD27" s="199" t="s">
        <v>29</v>
      </c>
      <c r="BE27" s="199" t="s">
        <v>29</v>
      </c>
      <c r="BF27" s="199" t="s">
        <v>29</v>
      </c>
      <c r="BG27" s="199" t="s">
        <v>29</v>
      </c>
      <c r="BH27" s="199" t="s">
        <v>29</v>
      </c>
      <c r="BI27" s="199" t="s">
        <v>29</v>
      </c>
      <c r="BJ27" s="199" t="s">
        <v>29</v>
      </c>
      <c r="BK27" s="199" t="s">
        <v>29</v>
      </c>
      <c r="BL27" s="199" t="s">
        <v>29</v>
      </c>
      <c r="BM27" s="199" t="s">
        <v>29</v>
      </c>
      <c r="BN27" s="199" t="s">
        <v>29</v>
      </c>
      <c r="BO27" s="199" t="s">
        <v>29</v>
      </c>
      <c r="BP27" s="199" t="s">
        <v>29</v>
      </c>
      <c r="BQ27" s="193"/>
      <c r="BR27" s="187">
        <v>37000</v>
      </c>
      <c r="BS27" s="202">
        <v>283760</v>
      </c>
      <c r="BT27" s="199">
        <v>281665</v>
      </c>
      <c r="BU27" s="192" t="s">
        <v>903</v>
      </c>
      <c r="BV27" s="192" t="s">
        <v>97</v>
      </c>
      <c r="BW27" s="192">
        <v>391</v>
      </c>
      <c r="BX27" s="192" t="s">
        <v>808</v>
      </c>
      <c r="BY27" s="192" t="s">
        <v>904</v>
      </c>
      <c r="BZ27" s="192" t="s">
        <v>97</v>
      </c>
      <c r="CA27" s="192">
        <v>391</v>
      </c>
      <c r="CB27" s="192" t="s">
        <v>808</v>
      </c>
      <c r="CC27" s="192" t="s">
        <v>905</v>
      </c>
      <c r="CD27" s="192" t="s">
        <v>97</v>
      </c>
      <c r="CE27" s="192">
        <v>6</v>
      </c>
      <c r="CF27" s="192" t="s">
        <v>133</v>
      </c>
      <c r="CG27" s="192" t="s">
        <v>906</v>
      </c>
      <c r="CH27" s="192" t="s">
        <v>97</v>
      </c>
      <c r="CI27" s="192">
        <v>12</v>
      </c>
      <c r="CJ27" s="192" t="s">
        <v>134</v>
      </c>
      <c r="CK27" s="192" t="s">
        <v>812</v>
      </c>
      <c r="CL27" s="192" t="s">
        <v>729</v>
      </c>
      <c r="CM27" s="192">
        <v>50000</v>
      </c>
      <c r="CN27" s="192" t="s">
        <v>730</v>
      </c>
      <c r="CO27" s="192" t="s">
        <v>907</v>
      </c>
      <c r="CP27" s="192" t="s">
        <v>97</v>
      </c>
      <c r="CQ27" s="192">
        <v>1</v>
      </c>
      <c r="CR27" s="192" t="s">
        <v>137</v>
      </c>
      <c r="CS27" s="192" t="s">
        <v>417</v>
      </c>
      <c r="CT27" s="192" t="s">
        <v>416</v>
      </c>
      <c r="CU27" s="192">
        <v>10000</v>
      </c>
      <c r="CV27" s="192" t="s">
        <v>733</v>
      </c>
      <c r="CW27" s="192" t="s">
        <v>155</v>
      </c>
      <c r="CX27" s="192" t="s">
        <v>144</v>
      </c>
      <c r="CY27" s="192">
        <v>4</v>
      </c>
      <c r="CZ27" s="192" t="s">
        <v>139</v>
      </c>
      <c r="DA27" s="192" t="s">
        <v>726</v>
      </c>
      <c r="DB27" s="192" t="s">
        <v>725</v>
      </c>
      <c r="DC27" s="192">
        <v>200</v>
      </c>
      <c r="DD27" s="192" t="s">
        <v>726</v>
      </c>
      <c r="DE27" s="192" t="s">
        <v>316</v>
      </c>
      <c r="DF27" s="192" t="s">
        <v>316</v>
      </c>
      <c r="DG27" s="192" t="s">
        <v>316</v>
      </c>
      <c r="DH27" s="192" t="s">
        <v>316</v>
      </c>
      <c r="DI27" s="192" t="s">
        <v>316</v>
      </c>
      <c r="DJ27" s="192" t="s">
        <v>316</v>
      </c>
      <c r="DK27" s="192" t="s">
        <v>316</v>
      </c>
      <c r="DL27" s="192" t="s">
        <v>316</v>
      </c>
      <c r="DM27" s="192" t="s">
        <v>316</v>
      </c>
      <c r="DN27" s="192" t="s">
        <v>316</v>
      </c>
      <c r="DO27" s="192" t="s">
        <v>316</v>
      </c>
      <c r="DP27" s="192" t="s">
        <v>316</v>
      </c>
      <c r="DQ27" s="192" t="s">
        <v>316</v>
      </c>
      <c r="DR27" s="192" t="s">
        <v>316</v>
      </c>
      <c r="DS27" s="192" t="s">
        <v>316</v>
      </c>
      <c r="DT27" s="192" t="s">
        <v>316</v>
      </c>
      <c r="DU27" s="192" t="s">
        <v>316</v>
      </c>
      <c r="DV27" s="192" t="s">
        <v>316</v>
      </c>
      <c r="DW27" s="192" t="s">
        <v>316</v>
      </c>
      <c r="DX27" s="192" t="s">
        <v>316</v>
      </c>
      <c r="DY27" s="192" t="s">
        <v>316</v>
      </c>
      <c r="DZ27" s="192" t="s">
        <v>316</v>
      </c>
      <c r="EA27" s="192" t="s">
        <v>316</v>
      </c>
      <c r="EB27" s="192" t="s">
        <v>316</v>
      </c>
      <c r="EC27" s="192" t="s">
        <v>29</v>
      </c>
      <c r="ED27" s="192" t="s">
        <v>29</v>
      </c>
      <c r="EE27" s="192" t="s">
        <v>29</v>
      </c>
      <c r="EF27" s="192" t="s">
        <v>29</v>
      </c>
      <c r="EG27" s="192" t="s">
        <v>29</v>
      </c>
      <c r="EH27" s="192" t="s">
        <v>29</v>
      </c>
      <c r="EI27" s="192" t="s">
        <v>29</v>
      </c>
      <c r="EJ27" s="192" t="s">
        <v>29</v>
      </c>
      <c r="EK27" s="192" t="s">
        <v>29</v>
      </c>
      <c r="EL27" s="192" t="s">
        <v>29</v>
      </c>
      <c r="EM27" s="192" t="s">
        <v>29</v>
      </c>
      <c r="EN27" s="192" t="s">
        <v>29</v>
      </c>
    </row>
    <row r="28" spans="1:144" ht="15">
      <c r="A28" s="187" t="str">
        <f t="shared" si="0"/>
        <v>MIZPP05826664488A</v>
      </c>
      <c r="B28" s="197" t="s">
        <v>234</v>
      </c>
      <c r="C28" s="198" t="s">
        <v>226</v>
      </c>
      <c r="D28" s="199" t="s">
        <v>1098</v>
      </c>
      <c r="E28" s="199">
        <v>26664488</v>
      </c>
      <c r="F28" s="199" t="s">
        <v>608</v>
      </c>
      <c r="G28" s="187"/>
      <c r="H28" s="198"/>
      <c r="I28" s="187"/>
      <c r="J28" s="187"/>
      <c r="K28" s="187"/>
      <c r="L28" s="200"/>
      <c r="M28" s="199" t="s">
        <v>608</v>
      </c>
      <c r="N28" s="198"/>
      <c r="O28" s="200"/>
      <c r="P28" s="198"/>
      <c r="Q28" s="199" t="s">
        <v>266</v>
      </c>
      <c r="R28" s="187"/>
      <c r="S28" s="198"/>
      <c r="T28" s="198"/>
      <c r="U28" s="187"/>
      <c r="V28" s="187"/>
      <c r="W28" s="187"/>
      <c r="X28" s="187"/>
      <c r="Y28" s="199" t="s">
        <v>560</v>
      </c>
      <c r="Z28" s="201">
        <v>9128</v>
      </c>
      <c r="AA28" s="201">
        <v>202378</v>
      </c>
      <c r="AB28" s="193">
        <f t="shared" si="1"/>
        <v>211506</v>
      </c>
      <c r="AC28" s="201">
        <v>0</v>
      </c>
      <c r="AD28" s="201">
        <v>0</v>
      </c>
      <c r="AE28" s="193">
        <f t="shared" si="2"/>
        <v>0</v>
      </c>
      <c r="AF28" s="201">
        <v>15000</v>
      </c>
      <c r="AG28" s="196"/>
      <c r="AH28" s="187"/>
      <c r="AI28" s="187"/>
      <c r="AJ28" s="187"/>
      <c r="AK28" s="193">
        <f t="shared" si="3"/>
        <v>15000</v>
      </c>
      <c r="AL28" s="199" t="s">
        <v>29</v>
      </c>
      <c r="AM28" s="199" t="s">
        <v>29</v>
      </c>
      <c r="AN28" s="199" t="s">
        <v>29</v>
      </c>
      <c r="AO28" s="199" t="s">
        <v>29</v>
      </c>
      <c r="AP28" s="193"/>
      <c r="AQ28" s="201">
        <v>0</v>
      </c>
      <c r="AR28" s="201">
        <v>29254</v>
      </c>
      <c r="AS28" s="201">
        <v>0</v>
      </c>
      <c r="AT28" s="201">
        <v>0</v>
      </c>
      <c r="AU28" s="201">
        <v>13420</v>
      </c>
      <c r="AV28" s="201">
        <v>0</v>
      </c>
      <c r="AW28" s="201">
        <v>0</v>
      </c>
      <c r="AX28" s="201">
        <v>0</v>
      </c>
      <c r="AY28" s="199" t="s">
        <v>679</v>
      </c>
      <c r="AZ28" s="199">
        <v>25000</v>
      </c>
      <c r="BA28" s="199" t="s">
        <v>680</v>
      </c>
      <c r="BB28" s="199">
        <v>1500</v>
      </c>
      <c r="BC28" s="199" t="s">
        <v>29</v>
      </c>
      <c r="BD28" s="199" t="s">
        <v>29</v>
      </c>
      <c r="BE28" s="199" t="s">
        <v>29</v>
      </c>
      <c r="BF28" s="199" t="s">
        <v>29</v>
      </c>
      <c r="BG28" s="199" t="s">
        <v>29</v>
      </c>
      <c r="BH28" s="199" t="s">
        <v>29</v>
      </c>
      <c r="BI28" s="199" t="s">
        <v>29</v>
      </c>
      <c r="BJ28" s="199" t="s">
        <v>29</v>
      </c>
      <c r="BK28" s="199" t="s">
        <v>29</v>
      </c>
      <c r="BL28" s="199" t="s">
        <v>29</v>
      </c>
      <c r="BM28" s="199" t="s">
        <v>29</v>
      </c>
      <c r="BN28" s="199" t="s">
        <v>29</v>
      </c>
      <c r="BO28" s="199" t="s">
        <v>29</v>
      </c>
      <c r="BP28" s="199" t="s">
        <v>29</v>
      </c>
      <c r="BQ28" s="193"/>
      <c r="BR28" s="187">
        <v>4320</v>
      </c>
      <c r="BS28" s="202">
        <v>300000</v>
      </c>
      <c r="BT28" s="199">
        <v>276188</v>
      </c>
      <c r="BU28" s="192" t="s">
        <v>908</v>
      </c>
      <c r="BV28" s="192" t="s">
        <v>97</v>
      </c>
      <c r="BW28" s="192">
        <v>10</v>
      </c>
      <c r="BX28" s="192" t="s">
        <v>133</v>
      </c>
      <c r="BY28" s="192" t="s">
        <v>909</v>
      </c>
      <c r="BZ28" s="192" t="s">
        <v>97</v>
      </c>
      <c r="CA28" s="192">
        <v>26</v>
      </c>
      <c r="CB28" s="192" t="s">
        <v>134</v>
      </c>
      <c r="CC28" s="192" t="s">
        <v>910</v>
      </c>
      <c r="CD28" s="192" t="s">
        <v>777</v>
      </c>
      <c r="CE28" s="192">
        <v>3</v>
      </c>
      <c r="CF28" s="192" t="s">
        <v>138</v>
      </c>
      <c r="CG28" s="192" t="s">
        <v>911</v>
      </c>
      <c r="CH28" s="192" t="s">
        <v>489</v>
      </c>
      <c r="CI28" s="192">
        <v>84</v>
      </c>
      <c r="CJ28" s="192" t="s">
        <v>418</v>
      </c>
      <c r="CK28" s="192" t="s">
        <v>912</v>
      </c>
      <c r="CL28" s="192" t="s">
        <v>735</v>
      </c>
      <c r="CM28" s="192">
        <v>2</v>
      </c>
      <c r="CN28" s="192" t="s">
        <v>423</v>
      </c>
      <c r="CO28" s="192" t="s">
        <v>913</v>
      </c>
      <c r="CP28" s="192" t="s">
        <v>97</v>
      </c>
      <c r="CQ28" s="192">
        <v>1</v>
      </c>
      <c r="CR28" s="192" t="s">
        <v>137</v>
      </c>
      <c r="CS28" s="192" t="s">
        <v>914</v>
      </c>
      <c r="CT28" s="192" t="s">
        <v>416</v>
      </c>
      <c r="CU28" s="192">
        <v>10</v>
      </c>
      <c r="CV28" s="192" t="s">
        <v>733</v>
      </c>
      <c r="CW28" s="192" t="s">
        <v>915</v>
      </c>
      <c r="CX28" s="192" t="s">
        <v>97</v>
      </c>
      <c r="CY28" s="192">
        <v>1</v>
      </c>
      <c r="CZ28" s="192" t="s">
        <v>137</v>
      </c>
      <c r="DA28" s="192" t="s">
        <v>916</v>
      </c>
      <c r="DB28" s="192" t="s">
        <v>416</v>
      </c>
      <c r="DC28" s="192">
        <v>10</v>
      </c>
      <c r="DD28" s="192" t="s">
        <v>733</v>
      </c>
      <c r="DE28" s="192" t="s">
        <v>917</v>
      </c>
      <c r="DF28" s="192" t="s">
        <v>97</v>
      </c>
      <c r="DG28" s="192">
        <v>4</v>
      </c>
      <c r="DH28" s="192" t="s">
        <v>133</v>
      </c>
      <c r="DI28" s="192" t="s">
        <v>812</v>
      </c>
      <c r="DJ28" s="192" t="s">
        <v>749</v>
      </c>
      <c r="DK28" s="192">
        <v>7800</v>
      </c>
      <c r="DL28" s="192" t="s">
        <v>730</v>
      </c>
      <c r="DM28" s="192" t="s">
        <v>100</v>
      </c>
      <c r="DN28" s="192" t="s">
        <v>97</v>
      </c>
      <c r="DO28" s="192">
        <v>2</v>
      </c>
      <c r="DP28" s="192" t="s">
        <v>137</v>
      </c>
      <c r="DQ28" s="192" t="s">
        <v>918</v>
      </c>
      <c r="DR28" s="192" t="s">
        <v>416</v>
      </c>
      <c r="DS28" s="192">
        <v>5000</v>
      </c>
      <c r="DT28" s="192" t="s">
        <v>733</v>
      </c>
      <c r="DU28" s="192" t="s">
        <v>919</v>
      </c>
      <c r="DV28" s="192" t="s">
        <v>97</v>
      </c>
      <c r="DW28" s="192">
        <v>2</v>
      </c>
      <c r="DX28" s="192" t="s">
        <v>137</v>
      </c>
      <c r="DY28" s="192" t="s">
        <v>920</v>
      </c>
      <c r="DZ28" s="192" t="s">
        <v>416</v>
      </c>
      <c r="EA28" s="192">
        <v>20</v>
      </c>
      <c r="EB28" s="192" t="s">
        <v>733</v>
      </c>
      <c r="EC28" s="192" t="s">
        <v>29</v>
      </c>
      <c r="ED28" s="192" t="s">
        <v>29</v>
      </c>
      <c r="EE28" s="192" t="s">
        <v>29</v>
      </c>
      <c r="EF28" s="192" t="s">
        <v>29</v>
      </c>
      <c r="EG28" s="192" t="s">
        <v>29</v>
      </c>
      <c r="EH28" s="192" t="s">
        <v>29</v>
      </c>
      <c r="EI28" s="192" t="s">
        <v>29</v>
      </c>
      <c r="EJ28" s="192" t="s">
        <v>29</v>
      </c>
      <c r="EK28" s="192" t="s">
        <v>29</v>
      </c>
      <c r="EL28" s="192" t="s">
        <v>29</v>
      </c>
      <c r="EM28" s="192" t="s">
        <v>29</v>
      </c>
      <c r="EN28" s="192" t="s">
        <v>29</v>
      </c>
    </row>
    <row r="29" spans="1:144" ht="15">
      <c r="A29" s="187" t="str">
        <f t="shared" si="0"/>
        <v>MIZPP06026543281A</v>
      </c>
      <c r="B29" s="197" t="s">
        <v>171</v>
      </c>
      <c r="C29" s="198" t="s">
        <v>226</v>
      </c>
      <c r="D29" s="199" t="s">
        <v>1099</v>
      </c>
      <c r="E29" s="199">
        <v>26543281</v>
      </c>
      <c r="F29" s="199" t="s">
        <v>609</v>
      </c>
      <c r="G29" s="187"/>
      <c r="H29" s="198"/>
      <c r="I29" s="187"/>
      <c r="J29" s="187"/>
      <c r="K29" s="187"/>
      <c r="L29" s="200"/>
      <c r="M29" s="199" t="s">
        <v>609</v>
      </c>
      <c r="N29" s="198"/>
      <c r="O29" s="200"/>
      <c r="P29" s="198"/>
      <c r="Q29" s="199" t="s">
        <v>259</v>
      </c>
      <c r="R29" s="187"/>
      <c r="S29" s="198"/>
      <c r="T29" s="198"/>
      <c r="U29" s="187"/>
      <c r="V29" s="187"/>
      <c r="W29" s="187"/>
      <c r="X29" s="187"/>
      <c r="Y29" s="199" t="s">
        <v>561</v>
      </c>
      <c r="Z29" s="201">
        <v>0</v>
      </c>
      <c r="AA29" s="201">
        <v>130000</v>
      </c>
      <c r="AB29" s="193">
        <f t="shared" si="1"/>
        <v>130000</v>
      </c>
      <c r="AC29" s="201">
        <v>5000</v>
      </c>
      <c r="AD29" s="201">
        <v>0</v>
      </c>
      <c r="AE29" s="193">
        <f t="shared" si="2"/>
        <v>5000</v>
      </c>
      <c r="AF29" s="201">
        <v>1000</v>
      </c>
      <c r="AG29" s="196"/>
      <c r="AH29" s="187"/>
      <c r="AI29" s="187"/>
      <c r="AJ29" s="187"/>
      <c r="AK29" s="193">
        <f t="shared" si="3"/>
        <v>1000</v>
      </c>
      <c r="AL29" s="199" t="s">
        <v>29</v>
      </c>
      <c r="AM29" s="199" t="s">
        <v>29</v>
      </c>
      <c r="AN29" s="199" t="s">
        <v>29</v>
      </c>
      <c r="AO29" s="199" t="s">
        <v>29</v>
      </c>
      <c r="AP29" s="193"/>
      <c r="AQ29" s="201">
        <v>7500</v>
      </c>
      <c r="AR29" s="201">
        <v>0</v>
      </c>
      <c r="AS29" s="201">
        <v>0</v>
      </c>
      <c r="AT29" s="201">
        <v>0</v>
      </c>
      <c r="AU29" s="201">
        <v>0</v>
      </c>
      <c r="AV29" s="201">
        <v>7500</v>
      </c>
      <c r="AW29" s="201">
        <v>0</v>
      </c>
      <c r="AX29" s="201">
        <v>0</v>
      </c>
      <c r="AY29" s="199" t="s">
        <v>681</v>
      </c>
      <c r="AZ29" s="199">
        <v>80000</v>
      </c>
      <c r="BA29" s="199" t="s">
        <v>682</v>
      </c>
      <c r="BB29" s="199">
        <v>15000</v>
      </c>
      <c r="BC29" s="199" t="s">
        <v>683</v>
      </c>
      <c r="BD29" s="199">
        <v>15000</v>
      </c>
      <c r="BE29" s="199" t="s">
        <v>684</v>
      </c>
      <c r="BF29" s="199">
        <v>5000</v>
      </c>
      <c r="BG29" s="199" t="s">
        <v>685</v>
      </c>
      <c r="BH29" s="199">
        <v>3000</v>
      </c>
      <c r="BI29" s="199" t="s">
        <v>29</v>
      </c>
      <c r="BJ29" s="199" t="s">
        <v>29</v>
      </c>
      <c r="BK29" s="199" t="s">
        <v>29</v>
      </c>
      <c r="BL29" s="199" t="s">
        <v>29</v>
      </c>
      <c r="BM29" s="199" t="s">
        <v>29</v>
      </c>
      <c r="BN29" s="199" t="s">
        <v>29</v>
      </c>
      <c r="BO29" s="199" t="s">
        <v>29</v>
      </c>
      <c r="BP29" s="199" t="s">
        <v>29</v>
      </c>
      <c r="BQ29" s="193"/>
      <c r="BR29" s="187">
        <v>20000</v>
      </c>
      <c r="BS29" s="202">
        <v>289000</v>
      </c>
      <c r="BT29" s="199">
        <v>125250</v>
      </c>
      <c r="BU29" s="192" t="s">
        <v>921</v>
      </c>
      <c r="BV29" s="192" t="s">
        <v>102</v>
      </c>
      <c r="BW29" s="192">
        <v>1.5</v>
      </c>
      <c r="BX29" s="192" t="s">
        <v>922</v>
      </c>
      <c r="BY29" s="192" t="s">
        <v>923</v>
      </c>
      <c r="BZ29" s="192" t="s">
        <v>97</v>
      </c>
      <c r="CA29" s="192">
        <v>10</v>
      </c>
      <c r="CB29" s="192" t="s">
        <v>422</v>
      </c>
      <c r="CC29" s="192" t="s">
        <v>924</v>
      </c>
      <c r="CD29" s="192" t="s">
        <v>97</v>
      </c>
      <c r="CE29" s="192">
        <v>1</v>
      </c>
      <c r="CF29" s="192" t="s">
        <v>133</v>
      </c>
      <c r="CG29" s="192" t="s">
        <v>316</v>
      </c>
      <c r="CH29" s="192" t="s">
        <v>316</v>
      </c>
      <c r="CI29" s="192" t="s">
        <v>316</v>
      </c>
      <c r="CJ29" s="192" t="s">
        <v>316</v>
      </c>
      <c r="CK29" s="192" t="s">
        <v>925</v>
      </c>
      <c r="CL29" s="192" t="s">
        <v>97</v>
      </c>
      <c r="CM29" s="192">
        <v>100</v>
      </c>
      <c r="CN29" s="192" t="s">
        <v>422</v>
      </c>
      <c r="CO29" s="192" t="s">
        <v>926</v>
      </c>
      <c r="CP29" s="192" t="s">
        <v>97</v>
      </c>
      <c r="CQ29" s="192">
        <v>5</v>
      </c>
      <c r="CR29" s="192" t="s">
        <v>134</v>
      </c>
      <c r="CS29" s="192" t="s">
        <v>927</v>
      </c>
      <c r="CT29" s="192" t="s">
        <v>729</v>
      </c>
      <c r="CU29" s="192">
        <v>10000</v>
      </c>
      <c r="CV29" s="192" t="s">
        <v>895</v>
      </c>
      <c r="CW29" s="192" t="s">
        <v>928</v>
      </c>
      <c r="CX29" s="192" t="s">
        <v>97</v>
      </c>
      <c r="CY29" s="192">
        <v>2</v>
      </c>
      <c r="CZ29" s="192" t="s">
        <v>466</v>
      </c>
      <c r="DA29" s="192" t="s">
        <v>929</v>
      </c>
      <c r="DB29" s="192" t="s">
        <v>489</v>
      </c>
      <c r="DC29" s="192">
        <v>40</v>
      </c>
      <c r="DD29" s="192" t="s">
        <v>488</v>
      </c>
      <c r="DE29" s="192" t="s">
        <v>139</v>
      </c>
      <c r="DF29" s="192" t="s">
        <v>144</v>
      </c>
      <c r="DG29" s="192">
        <v>40</v>
      </c>
      <c r="DH29" s="192" t="s">
        <v>139</v>
      </c>
      <c r="DI29" s="192" t="s">
        <v>930</v>
      </c>
      <c r="DJ29" s="192" t="s">
        <v>725</v>
      </c>
      <c r="DK29" s="192">
        <v>150</v>
      </c>
      <c r="DL29" s="192" t="s">
        <v>726</v>
      </c>
      <c r="DM29" s="192" t="s">
        <v>316</v>
      </c>
      <c r="DN29" s="192" t="s">
        <v>316</v>
      </c>
      <c r="DO29" s="192" t="s">
        <v>316</v>
      </c>
      <c r="DP29" s="192" t="s">
        <v>316</v>
      </c>
      <c r="DQ29" s="192" t="s">
        <v>316</v>
      </c>
      <c r="DR29" s="192" t="s">
        <v>316</v>
      </c>
      <c r="DS29" s="192" t="s">
        <v>316</v>
      </c>
      <c r="DT29" s="192" t="s">
        <v>316</v>
      </c>
      <c r="DU29" s="192" t="s">
        <v>316</v>
      </c>
      <c r="DV29" s="192" t="s">
        <v>316</v>
      </c>
      <c r="DW29" s="192" t="s">
        <v>316</v>
      </c>
      <c r="DX29" s="192" t="s">
        <v>316</v>
      </c>
      <c r="DY29" s="192" t="s">
        <v>316</v>
      </c>
      <c r="DZ29" s="192" t="s">
        <v>316</v>
      </c>
      <c r="EA29" s="192" t="s">
        <v>316</v>
      </c>
      <c r="EB29" s="192" t="s">
        <v>316</v>
      </c>
      <c r="EC29" s="192" t="s">
        <v>29</v>
      </c>
      <c r="ED29" s="192" t="s">
        <v>29</v>
      </c>
      <c r="EE29" s="192" t="s">
        <v>29</v>
      </c>
      <c r="EF29" s="192" t="s">
        <v>29</v>
      </c>
      <c r="EG29" s="192" t="s">
        <v>29</v>
      </c>
      <c r="EH29" s="192" t="s">
        <v>29</v>
      </c>
      <c r="EI29" s="192" t="s">
        <v>29</v>
      </c>
      <c r="EJ29" s="192" t="s">
        <v>29</v>
      </c>
      <c r="EK29" s="192" t="s">
        <v>29</v>
      </c>
      <c r="EL29" s="192" t="s">
        <v>29</v>
      </c>
      <c r="EM29" s="192" t="s">
        <v>29</v>
      </c>
      <c r="EN29" s="192" t="s">
        <v>29</v>
      </c>
    </row>
    <row r="30" spans="1:144" ht="15">
      <c r="A30" s="187" t="str">
        <f t="shared" si="0"/>
        <v>MIZPP06228831055A</v>
      </c>
      <c r="B30" s="197" t="s">
        <v>172</v>
      </c>
      <c r="C30" s="198" t="s">
        <v>226</v>
      </c>
      <c r="D30" s="199" t="s">
        <v>1100</v>
      </c>
      <c r="E30" s="199">
        <v>28831055</v>
      </c>
      <c r="F30" s="199" t="s">
        <v>255</v>
      </c>
      <c r="G30" s="187"/>
      <c r="H30" s="198"/>
      <c r="I30" s="187"/>
      <c r="J30" s="187"/>
      <c r="K30" s="187"/>
      <c r="L30" s="200"/>
      <c r="M30" s="199" t="s">
        <v>255</v>
      </c>
      <c r="N30" s="198"/>
      <c r="O30" s="200"/>
      <c r="P30" s="198"/>
      <c r="Q30" s="199" t="s">
        <v>273</v>
      </c>
      <c r="R30" s="187"/>
      <c r="S30" s="198"/>
      <c r="T30" s="198"/>
      <c r="U30" s="187"/>
      <c r="V30" s="187"/>
      <c r="W30" s="187"/>
      <c r="X30" s="187"/>
      <c r="Y30" s="199" t="s">
        <v>562</v>
      </c>
      <c r="Z30" s="201">
        <v>103640</v>
      </c>
      <c r="AA30" s="201">
        <v>0</v>
      </c>
      <c r="AB30" s="193">
        <f t="shared" si="1"/>
        <v>103640</v>
      </c>
      <c r="AC30" s="201">
        <v>6000</v>
      </c>
      <c r="AD30" s="201">
        <v>0</v>
      </c>
      <c r="AE30" s="193">
        <f t="shared" si="2"/>
        <v>6000</v>
      </c>
      <c r="AF30" s="201">
        <v>7000</v>
      </c>
      <c r="AG30" s="196"/>
      <c r="AH30" s="187"/>
      <c r="AI30" s="187"/>
      <c r="AJ30" s="187"/>
      <c r="AK30" s="193">
        <f t="shared" si="3"/>
        <v>7000</v>
      </c>
      <c r="AL30" s="199" t="s">
        <v>29</v>
      </c>
      <c r="AM30" s="199" t="s">
        <v>29</v>
      </c>
      <c r="AN30" s="199" t="s">
        <v>29</v>
      </c>
      <c r="AO30" s="199" t="s">
        <v>29</v>
      </c>
      <c r="AP30" s="193"/>
      <c r="AQ30" s="201">
        <v>0</v>
      </c>
      <c r="AR30" s="201">
        <v>6000</v>
      </c>
      <c r="AS30" s="201">
        <v>0</v>
      </c>
      <c r="AT30" s="201">
        <v>12000</v>
      </c>
      <c r="AU30" s="201">
        <v>0</v>
      </c>
      <c r="AV30" s="201">
        <v>0</v>
      </c>
      <c r="AW30" s="201">
        <v>0</v>
      </c>
      <c r="AX30" s="201">
        <v>0</v>
      </c>
      <c r="AY30" s="199" t="s">
        <v>327</v>
      </c>
      <c r="AZ30" s="199">
        <v>120000</v>
      </c>
      <c r="BA30" s="199" t="s">
        <v>29</v>
      </c>
      <c r="BB30" s="199" t="s">
        <v>29</v>
      </c>
      <c r="BC30" s="199" t="s">
        <v>29</v>
      </c>
      <c r="BD30" s="199" t="s">
        <v>29</v>
      </c>
      <c r="BE30" s="199" t="s">
        <v>29</v>
      </c>
      <c r="BF30" s="199" t="s">
        <v>29</v>
      </c>
      <c r="BG30" s="199" t="s">
        <v>29</v>
      </c>
      <c r="BH30" s="199" t="s">
        <v>29</v>
      </c>
      <c r="BI30" s="199" t="s">
        <v>29</v>
      </c>
      <c r="BJ30" s="199" t="s">
        <v>29</v>
      </c>
      <c r="BK30" s="199" t="s">
        <v>29</v>
      </c>
      <c r="BL30" s="199" t="s">
        <v>29</v>
      </c>
      <c r="BM30" s="199" t="s">
        <v>29</v>
      </c>
      <c r="BN30" s="199" t="s">
        <v>29</v>
      </c>
      <c r="BO30" s="199" t="s">
        <v>29</v>
      </c>
      <c r="BP30" s="199" t="s">
        <v>29</v>
      </c>
      <c r="BQ30" s="193"/>
      <c r="BR30" s="187">
        <v>45000</v>
      </c>
      <c r="BS30" s="202">
        <v>299640</v>
      </c>
      <c r="BT30" s="199">
        <v>201424</v>
      </c>
      <c r="BU30" s="192" t="s">
        <v>931</v>
      </c>
      <c r="BV30" s="192" t="s">
        <v>97</v>
      </c>
      <c r="BW30" s="192">
        <v>3</v>
      </c>
      <c r="BX30" s="192" t="s">
        <v>137</v>
      </c>
      <c r="BY30" s="192" t="s">
        <v>932</v>
      </c>
      <c r="BZ30" s="192" t="s">
        <v>416</v>
      </c>
      <c r="CA30" s="192">
        <v>300</v>
      </c>
      <c r="CB30" s="192" t="s">
        <v>733</v>
      </c>
      <c r="CC30" s="192" t="s">
        <v>933</v>
      </c>
      <c r="CD30" s="192" t="s">
        <v>97</v>
      </c>
      <c r="CE30" s="192">
        <v>1</v>
      </c>
      <c r="CF30" s="192" t="s">
        <v>466</v>
      </c>
      <c r="CG30" s="192" t="s">
        <v>934</v>
      </c>
      <c r="CH30" s="192" t="s">
        <v>144</v>
      </c>
      <c r="CI30" s="192">
        <v>15</v>
      </c>
      <c r="CJ30" s="192" t="s">
        <v>488</v>
      </c>
      <c r="CK30" s="192" t="s">
        <v>935</v>
      </c>
      <c r="CL30" s="192" t="s">
        <v>97</v>
      </c>
      <c r="CM30" s="192">
        <v>2</v>
      </c>
      <c r="CN30" s="192" t="s">
        <v>133</v>
      </c>
      <c r="CO30" s="192" t="s">
        <v>936</v>
      </c>
      <c r="CP30" s="192" t="s">
        <v>97</v>
      </c>
      <c r="CQ30" s="192">
        <v>5</v>
      </c>
      <c r="CR30" s="192" t="s">
        <v>134</v>
      </c>
      <c r="CS30" s="192" t="s">
        <v>937</v>
      </c>
      <c r="CT30" s="192" t="s">
        <v>777</v>
      </c>
      <c r="CU30" s="192">
        <v>1</v>
      </c>
      <c r="CV30" s="192" t="s">
        <v>138</v>
      </c>
      <c r="CW30" s="192" t="s">
        <v>938</v>
      </c>
      <c r="CX30" s="192" t="s">
        <v>489</v>
      </c>
      <c r="CY30" s="192">
        <v>100</v>
      </c>
      <c r="CZ30" s="192" t="s">
        <v>418</v>
      </c>
      <c r="DA30" s="192" t="s">
        <v>939</v>
      </c>
      <c r="DB30" s="192" t="s">
        <v>749</v>
      </c>
      <c r="DC30" s="192">
        <v>100</v>
      </c>
      <c r="DD30" s="192" t="s">
        <v>730</v>
      </c>
      <c r="DE30" s="192" t="s">
        <v>316</v>
      </c>
      <c r="DF30" s="192" t="s">
        <v>316</v>
      </c>
      <c r="DG30" s="192" t="s">
        <v>316</v>
      </c>
      <c r="DH30" s="192" t="s">
        <v>316</v>
      </c>
      <c r="DI30" s="192" t="s">
        <v>316</v>
      </c>
      <c r="DJ30" s="192" t="s">
        <v>316</v>
      </c>
      <c r="DK30" s="192" t="s">
        <v>316</v>
      </c>
      <c r="DL30" s="192" t="s">
        <v>316</v>
      </c>
      <c r="DM30" s="192" t="s">
        <v>316</v>
      </c>
      <c r="DN30" s="192" t="s">
        <v>316</v>
      </c>
      <c r="DO30" s="192" t="s">
        <v>316</v>
      </c>
      <c r="DP30" s="192" t="s">
        <v>316</v>
      </c>
      <c r="DQ30" s="192" t="s">
        <v>316</v>
      </c>
      <c r="DR30" s="192" t="s">
        <v>316</v>
      </c>
      <c r="DS30" s="192" t="s">
        <v>316</v>
      </c>
      <c r="DT30" s="192" t="s">
        <v>316</v>
      </c>
      <c r="DU30" s="192" t="s">
        <v>316</v>
      </c>
      <c r="DV30" s="192" t="s">
        <v>316</v>
      </c>
      <c r="DW30" s="192" t="s">
        <v>316</v>
      </c>
      <c r="DX30" s="192" t="s">
        <v>316</v>
      </c>
      <c r="DY30" s="192" t="s">
        <v>316</v>
      </c>
      <c r="DZ30" s="192" t="s">
        <v>316</v>
      </c>
      <c r="EA30" s="192" t="s">
        <v>316</v>
      </c>
      <c r="EB30" s="192" t="s">
        <v>316</v>
      </c>
      <c r="EC30" s="192" t="s">
        <v>29</v>
      </c>
      <c r="ED30" s="192" t="s">
        <v>29</v>
      </c>
      <c r="EE30" s="192" t="s">
        <v>29</v>
      </c>
      <c r="EF30" s="192" t="s">
        <v>29</v>
      </c>
      <c r="EG30" s="192" t="s">
        <v>29</v>
      </c>
      <c r="EH30" s="192" t="s">
        <v>29</v>
      </c>
      <c r="EI30" s="192" t="s">
        <v>29</v>
      </c>
      <c r="EJ30" s="192" t="s">
        <v>29</v>
      </c>
      <c r="EK30" s="192" t="s">
        <v>29</v>
      </c>
      <c r="EL30" s="192" t="s">
        <v>29</v>
      </c>
      <c r="EM30" s="192" t="s">
        <v>29</v>
      </c>
      <c r="EN30" s="192" t="s">
        <v>29</v>
      </c>
    </row>
    <row r="31" spans="1:144" ht="15">
      <c r="A31" s="187" t="str">
        <f t="shared" si="0"/>
        <v>MIZPP06345251461A</v>
      </c>
      <c r="B31" s="197" t="s">
        <v>235</v>
      </c>
      <c r="C31" s="198" t="s">
        <v>226</v>
      </c>
      <c r="D31" s="199" t="s">
        <v>1101</v>
      </c>
      <c r="E31" s="199">
        <v>45251461</v>
      </c>
      <c r="F31" s="199" t="s">
        <v>610</v>
      </c>
      <c r="G31" s="187"/>
      <c r="H31" s="198"/>
      <c r="I31" s="187"/>
      <c r="J31" s="187"/>
      <c r="K31" s="187"/>
      <c r="L31" s="200"/>
      <c r="M31" s="199" t="s">
        <v>610</v>
      </c>
      <c r="N31" s="198"/>
      <c r="O31" s="200"/>
      <c r="P31" s="198"/>
      <c r="Q31" s="199" t="s">
        <v>630</v>
      </c>
      <c r="R31" s="187"/>
      <c r="S31" s="198"/>
      <c r="T31" s="198"/>
      <c r="U31" s="187"/>
      <c r="V31" s="187"/>
      <c r="W31" s="187"/>
      <c r="X31" s="187"/>
      <c r="Y31" s="199" t="s">
        <v>563</v>
      </c>
      <c r="Z31" s="201">
        <v>130000</v>
      </c>
      <c r="AA31" s="201">
        <v>0</v>
      </c>
      <c r="AB31" s="193">
        <f t="shared" si="1"/>
        <v>130000</v>
      </c>
      <c r="AC31" s="201">
        <v>0</v>
      </c>
      <c r="AD31" s="201">
        <v>0</v>
      </c>
      <c r="AE31" s="193">
        <f t="shared" si="2"/>
        <v>0</v>
      </c>
      <c r="AF31" s="201">
        <v>0</v>
      </c>
      <c r="AG31" s="196"/>
      <c r="AH31" s="187"/>
      <c r="AI31" s="187"/>
      <c r="AJ31" s="187"/>
      <c r="AK31" s="193">
        <f t="shared" si="3"/>
        <v>0</v>
      </c>
      <c r="AL31" s="199" t="s">
        <v>29</v>
      </c>
      <c r="AM31" s="199" t="s">
        <v>29</v>
      </c>
      <c r="AN31" s="199" t="s">
        <v>29</v>
      </c>
      <c r="AO31" s="199" t="s">
        <v>29</v>
      </c>
      <c r="AP31" s="193"/>
      <c r="AQ31" s="201">
        <v>0</v>
      </c>
      <c r="AR31" s="201">
        <v>0</v>
      </c>
      <c r="AS31" s="201">
        <v>0</v>
      </c>
      <c r="AT31" s="201">
        <v>0</v>
      </c>
      <c r="AU31" s="201">
        <v>0</v>
      </c>
      <c r="AV31" s="201">
        <v>60000</v>
      </c>
      <c r="AW31" s="201">
        <v>0</v>
      </c>
      <c r="AX31" s="201">
        <v>0</v>
      </c>
      <c r="AY31" s="199" t="s">
        <v>686</v>
      </c>
      <c r="AZ31" s="199">
        <v>67000</v>
      </c>
      <c r="BA31" s="199" t="s">
        <v>29</v>
      </c>
      <c r="BB31" s="199" t="s">
        <v>29</v>
      </c>
      <c r="BC31" s="199" t="s">
        <v>29</v>
      </c>
      <c r="BD31" s="199" t="s">
        <v>29</v>
      </c>
      <c r="BE31" s="199" t="s">
        <v>29</v>
      </c>
      <c r="BF31" s="199" t="s">
        <v>29</v>
      </c>
      <c r="BG31" s="199" t="s">
        <v>29</v>
      </c>
      <c r="BH31" s="199" t="s">
        <v>29</v>
      </c>
      <c r="BI31" s="199" t="s">
        <v>29</v>
      </c>
      <c r="BJ31" s="199" t="s">
        <v>29</v>
      </c>
      <c r="BK31" s="199" t="s">
        <v>29</v>
      </c>
      <c r="BL31" s="199" t="s">
        <v>29</v>
      </c>
      <c r="BM31" s="199" t="s">
        <v>29</v>
      </c>
      <c r="BN31" s="199" t="s">
        <v>29</v>
      </c>
      <c r="BO31" s="199" t="s">
        <v>29</v>
      </c>
      <c r="BP31" s="199" t="s">
        <v>29</v>
      </c>
      <c r="BQ31" s="193"/>
      <c r="BR31" s="187">
        <v>0</v>
      </c>
      <c r="BS31" s="202">
        <v>257000</v>
      </c>
      <c r="BT31" s="199">
        <v>130000</v>
      </c>
      <c r="BU31" s="192" t="s">
        <v>940</v>
      </c>
      <c r="BV31" s="192" t="s">
        <v>97</v>
      </c>
      <c r="BW31" s="192">
        <v>30</v>
      </c>
      <c r="BX31" s="192" t="s">
        <v>133</v>
      </c>
      <c r="BY31" s="192" t="s">
        <v>941</v>
      </c>
      <c r="BZ31" s="192" t="s">
        <v>97</v>
      </c>
      <c r="CA31" s="192">
        <v>30</v>
      </c>
      <c r="CB31" s="192" t="s">
        <v>134</v>
      </c>
      <c r="CC31" s="192" t="s">
        <v>812</v>
      </c>
      <c r="CD31" s="192" t="s">
        <v>729</v>
      </c>
      <c r="CE31" s="192">
        <v>6000</v>
      </c>
      <c r="CF31" s="192" t="s">
        <v>730</v>
      </c>
      <c r="CG31" s="192" t="s">
        <v>316</v>
      </c>
      <c r="CH31" s="192" t="s">
        <v>316</v>
      </c>
      <c r="CI31" s="192" t="s">
        <v>316</v>
      </c>
      <c r="CJ31" s="192" t="s">
        <v>316</v>
      </c>
      <c r="CK31" s="192" t="s">
        <v>316</v>
      </c>
      <c r="CL31" s="192" t="s">
        <v>316</v>
      </c>
      <c r="CM31" s="192" t="s">
        <v>316</v>
      </c>
      <c r="CN31" s="192" t="s">
        <v>316</v>
      </c>
      <c r="CO31" s="192" t="s">
        <v>316</v>
      </c>
      <c r="CP31" s="192" t="s">
        <v>316</v>
      </c>
      <c r="CQ31" s="192" t="s">
        <v>316</v>
      </c>
      <c r="CR31" s="192" t="s">
        <v>316</v>
      </c>
      <c r="CS31" s="192" t="s">
        <v>316</v>
      </c>
      <c r="CT31" s="192" t="s">
        <v>316</v>
      </c>
      <c r="CU31" s="192" t="s">
        <v>316</v>
      </c>
      <c r="CV31" s="192" t="s">
        <v>316</v>
      </c>
      <c r="CW31" s="192" t="s">
        <v>316</v>
      </c>
      <c r="CX31" s="192" t="s">
        <v>316</v>
      </c>
      <c r="CY31" s="192" t="s">
        <v>316</v>
      </c>
      <c r="CZ31" s="192" t="s">
        <v>316</v>
      </c>
      <c r="DA31" s="192" t="s">
        <v>316</v>
      </c>
      <c r="DB31" s="192" t="s">
        <v>316</v>
      </c>
      <c r="DC31" s="192" t="s">
        <v>316</v>
      </c>
      <c r="DD31" s="192" t="s">
        <v>316</v>
      </c>
      <c r="DE31" s="192" t="s">
        <v>316</v>
      </c>
      <c r="DF31" s="192" t="s">
        <v>316</v>
      </c>
      <c r="DG31" s="192" t="s">
        <v>316</v>
      </c>
      <c r="DH31" s="192" t="s">
        <v>316</v>
      </c>
      <c r="DI31" s="192" t="s">
        <v>316</v>
      </c>
      <c r="DJ31" s="192" t="s">
        <v>316</v>
      </c>
      <c r="DK31" s="192" t="s">
        <v>316</v>
      </c>
      <c r="DL31" s="192" t="s">
        <v>316</v>
      </c>
      <c r="DM31" s="192" t="s">
        <v>316</v>
      </c>
      <c r="DN31" s="192" t="s">
        <v>316</v>
      </c>
      <c r="DO31" s="192" t="s">
        <v>316</v>
      </c>
      <c r="DP31" s="192" t="s">
        <v>316</v>
      </c>
      <c r="DQ31" s="192" t="s">
        <v>316</v>
      </c>
      <c r="DR31" s="192" t="s">
        <v>316</v>
      </c>
      <c r="DS31" s="192" t="s">
        <v>316</v>
      </c>
      <c r="DT31" s="192" t="s">
        <v>316</v>
      </c>
      <c r="DU31" s="192" t="s">
        <v>316</v>
      </c>
      <c r="DV31" s="192" t="s">
        <v>316</v>
      </c>
      <c r="DW31" s="192" t="s">
        <v>316</v>
      </c>
      <c r="DX31" s="192" t="s">
        <v>316</v>
      </c>
      <c r="DY31" s="192" t="s">
        <v>316</v>
      </c>
      <c r="DZ31" s="192" t="s">
        <v>316</v>
      </c>
      <c r="EA31" s="192" t="s">
        <v>316</v>
      </c>
      <c r="EB31" s="192" t="s">
        <v>316</v>
      </c>
      <c r="EC31" s="192" t="s">
        <v>29</v>
      </c>
      <c r="ED31" s="192" t="s">
        <v>29</v>
      </c>
      <c r="EE31" s="192" t="s">
        <v>29</v>
      </c>
      <c r="EF31" s="192" t="s">
        <v>29</v>
      </c>
      <c r="EG31" s="192" t="s">
        <v>29</v>
      </c>
      <c r="EH31" s="192" t="s">
        <v>29</v>
      </c>
      <c r="EI31" s="192" t="s">
        <v>29</v>
      </c>
      <c r="EJ31" s="192" t="s">
        <v>29</v>
      </c>
      <c r="EK31" s="192" t="s">
        <v>29</v>
      </c>
      <c r="EL31" s="192" t="s">
        <v>29</v>
      </c>
      <c r="EM31" s="192" t="s">
        <v>29</v>
      </c>
      <c r="EN31" s="192" t="s">
        <v>29</v>
      </c>
    </row>
    <row r="32" spans="1:144" ht="15">
      <c r="A32" s="187" t="str">
        <f t="shared" si="0"/>
        <v>MIZPP07026643073A</v>
      </c>
      <c r="B32" s="197" t="s">
        <v>173</v>
      </c>
      <c r="C32" s="198" t="s">
        <v>226</v>
      </c>
      <c r="D32" s="199" t="s">
        <v>1090</v>
      </c>
      <c r="E32" s="199">
        <v>26643073</v>
      </c>
      <c r="F32" s="199" t="s">
        <v>593</v>
      </c>
      <c r="G32" s="187"/>
      <c r="H32" s="198"/>
      <c r="I32" s="187"/>
      <c r="J32" s="187"/>
      <c r="K32" s="187"/>
      <c r="L32" s="200"/>
      <c r="M32" s="199" t="s">
        <v>593</v>
      </c>
      <c r="N32" s="198"/>
      <c r="O32" s="200"/>
      <c r="P32" s="198"/>
      <c r="Q32" s="199" t="s">
        <v>624</v>
      </c>
      <c r="R32" s="187"/>
      <c r="S32" s="198"/>
      <c r="T32" s="198"/>
      <c r="U32" s="187"/>
      <c r="V32" s="187"/>
      <c r="W32" s="187"/>
      <c r="X32" s="187"/>
      <c r="Y32" s="199" t="s">
        <v>564</v>
      </c>
      <c r="Z32" s="201">
        <v>132000</v>
      </c>
      <c r="AA32" s="201">
        <v>17000</v>
      </c>
      <c r="AB32" s="193">
        <f t="shared" si="1"/>
        <v>149000</v>
      </c>
      <c r="AC32" s="201">
        <v>7000</v>
      </c>
      <c r="AD32" s="201">
        <v>0</v>
      </c>
      <c r="AE32" s="193">
        <f t="shared" si="2"/>
        <v>7000</v>
      </c>
      <c r="AF32" s="201">
        <v>0</v>
      </c>
      <c r="AG32" s="196"/>
      <c r="AH32" s="187"/>
      <c r="AI32" s="187"/>
      <c r="AJ32" s="187"/>
      <c r="AK32" s="193">
        <f t="shared" si="3"/>
        <v>0</v>
      </c>
      <c r="AL32" s="199" t="s">
        <v>29</v>
      </c>
      <c r="AM32" s="199" t="s">
        <v>29</v>
      </c>
      <c r="AN32" s="199" t="s">
        <v>29</v>
      </c>
      <c r="AO32" s="199" t="s">
        <v>29</v>
      </c>
      <c r="AP32" s="193"/>
      <c r="AQ32" s="201">
        <v>0</v>
      </c>
      <c r="AR32" s="201">
        <v>0</v>
      </c>
      <c r="AS32" s="201">
        <v>0</v>
      </c>
      <c r="AT32" s="201">
        <v>0</v>
      </c>
      <c r="AU32" s="201">
        <v>0</v>
      </c>
      <c r="AV32" s="201">
        <v>13000</v>
      </c>
      <c r="AW32" s="201">
        <v>0</v>
      </c>
      <c r="AX32" s="201">
        <v>85000</v>
      </c>
      <c r="AY32" s="199" t="s">
        <v>642</v>
      </c>
      <c r="AZ32" s="199">
        <v>0</v>
      </c>
      <c r="BA32" s="199" t="s">
        <v>29</v>
      </c>
      <c r="BB32" s="199" t="s">
        <v>29</v>
      </c>
      <c r="BC32" s="199" t="s">
        <v>29</v>
      </c>
      <c r="BD32" s="199" t="s">
        <v>29</v>
      </c>
      <c r="BE32" s="199" t="s">
        <v>29</v>
      </c>
      <c r="BF32" s="199" t="s">
        <v>29</v>
      </c>
      <c r="BG32" s="199" t="s">
        <v>29</v>
      </c>
      <c r="BH32" s="199" t="s">
        <v>29</v>
      </c>
      <c r="BI32" s="199" t="s">
        <v>29</v>
      </c>
      <c r="BJ32" s="199" t="s">
        <v>29</v>
      </c>
      <c r="BK32" s="199" t="s">
        <v>29</v>
      </c>
      <c r="BL32" s="199" t="s">
        <v>29</v>
      </c>
      <c r="BM32" s="199" t="s">
        <v>29</v>
      </c>
      <c r="BN32" s="199" t="s">
        <v>29</v>
      </c>
      <c r="BO32" s="199" t="s">
        <v>29</v>
      </c>
      <c r="BP32" s="199" t="s">
        <v>29</v>
      </c>
      <c r="BQ32" s="193"/>
      <c r="BR32" s="187">
        <v>40000</v>
      </c>
      <c r="BS32" s="202">
        <v>294000</v>
      </c>
      <c r="BT32" s="199">
        <v>130000</v>
      </c>
      <c r="BU32" s="192" t="s">
        <v>942</v>
      </c>
      <c r="BV32" s="192" t="s">
        <v>97</v>
      </c>
      <c r="BW32" s="192">
        <v>1</v>
      </c>
      <c r="BX32" s="192" t="s">
        <v>466</v>
      </c>
      <c r="BY32" s="192" t="s">
        <v>943</v>
      </c>
      <c r="BZ32" s="192" t="s">
        <v>489</v>
      </c>
      <c r="CA32" s="192">
        <v>40</v>
      </c>
      <c r="CB32" s="192" t="s">
        <v>488</v>
      </c>
      <c r="CC32" s="192" t="s">
        <v>944</v>
      </c>
      <c r="CD32" s="192" t="s">
        <v>777</v>
      </c>
      <c r="CE32" s="192">
        <v>5</v>
      </c>
      <c r="CF32" s="192" t="s">
        <v>138</v>
      </c>
      <c r="CG32" s="192" t="s">
        <v>945</v>
      </c>
      <c r="CH32" s="192" t="s">
        <v>489</v>
      </c>
      <c r="CI32" s="192">
        <v>100</v>
      </c>
      <c r="CJ32" s="192" t="s">
        <v>418</v>
      </c>
      <c r="CK32" s="192" t="s">
        <v>946</v>
      </c>
      <c r="CL32" s="192" t="s">
        <v>97</v>
      </c>
      <c r="CM32" s="192">
        <v>1</v>
      </c>
      <c r="CN32" s="192" t="s">
        <v>466</v>
      </c>
      <c r="CO32" s="192" t="s">
        <v>947</v>
      </c>
      <c r="CP32" s="192" t="s">
        <v>489</v>
      </c>
      <c r="CQ32" s="192">
        <v>15</v>
      </c>
      <c r="CR32" s="192" t="s">
        <v>488</v>
      </c>
      <c r="CS32" s="192" t="s">
        <v>134</v>
      </c>
      <c r="CT32" s="192" t="s">
        <v>97</v>
      </c>
      <c r="CU32" s="192">
        <v>10</v>
      </c>
      <c r="CV32" s="192" t="s">
        <v>134</v>
      </c>
      <c r="CW32" s="192" t="s">
        <v>812</v>
      </c>
      <c r="CX32" s="192" t="s">
        <v>729</v>
      </c>
      <c r="CY32" s="192">
        <v>5000</v>
      </c>
      <c r="CZ32" s="192" t="s">
        <v>895</v>
      </c>
      <c r="DA32" s="192" t="s">
        <v>139</v>
      </c>
      <c r="DB32" s="192" t="s">
        <v>144</v>
      </c>
      <c r="DC32" s="192">
        <v>20</v>
      </c>
      <c r="DD32" s="192" t="s">
        <v>948</v>
      </c>
      <c r="DE32" s="192" t="s">
        <v>726</v>
      </c>
      <c r="DF32" s="192" t="s">
        <v>725</v>
      </c>
      <c r="DG32" s="192">
        <v>200</v>
      </c>
      <c r="DH32" s="192" t="s">
        <v>726</v>
      </c>
      <c r="DI32" s="192" t="s">
        <v>316</v>
      </c>
      <c r="DJ32" s="192" t="s">
        <v>316</v>
      </c>
      <c r="DK32" s="192" t="s">
        <v>316</v>
      </c>
      <c r="DL32" s="192" t="s">
        <v>316</v>
      </c>
      <c r="DM32" s="192" t="s">
        <v>316</v>
      </c>
      <c r="DN32" s="192" t="s">
        <v>316</v>
      </c>
      <c r="DO32" s="192" t="s">
        <v>316</v>
      </c>
      <c r="DP32" s="192" t="s">
        <v>316</v>
      </c>
      <c r="DQ32" s="192" t="s">
        <v>316</v>
      </c>
      <c r="DR32" s="192" t="s">
        <v>316</v>
      </c>
      <c r="DS32" s="192" t="s">
        <v>316</v>
      </c>
      <c r="DT32" s="192" t="s">
        <v>316</v>
      </c>
      <c r="DU32" s="192" t="s">
        <v>316</v>
      </c>
      <c r="DV32" s="192" t="s">
        <v>316</v>
      </c>
      <c r="DW32" s="192" t="s">
        <v>316</v>
      </c>
      <c r="DX32" s="192" t="s">
        <v>316</v>
      </c>
      <c r="DY32" s="192" t="s">
        <v>316</v>
      </c>
      <c r="DZ32" s="192" t="s">
        <v>316</v>
      </c>
      <c r="EA32" s="192" t="s">
        <v>316</v>
      </c>
      <c r="EB32" s="192" t="s">
        <v>316</v>
      </c>
      <c r="EC32" s="192" t="s">
        <v>29</v>
      </c>
      <c r="ED32" s="192" t="s">
        <v>29</v>
      </c>
      <c r="EE32" s="192" t="s">
        <v>29</v>
      </c>
      <c r="EF32" s="192" t="s">
        <v>29</v>
      </c>
      <c r="EG32" s="192" t="s">
        <v>29</v>
      </c>
      <c r="EH32" s="192" t="s">
        <v>29</v>
      </c>
      <c r="EI32" s="192" t="s">
        <v>29</v>
      </c>
      <c r="EJ32" s="192" t="s">
        <v>29</v>
      </c>
      <c r="EK32" s="192" t="s">
        <v>29</v>
      </c>
      <c r="EL32" s="192" t="s">
        <v>29</v>
      </c>
      <c r="EM32" s="192" t="s">
        <v>29</v>
      </c>
      <c r="EN32" s="192" t="s">
        <v>29</v>
      </c>
    </row>
    <row r="33" spans="1:146" ht="15">
      <c r="A33" s="187" t="str">
        <f t="shared" si="0"/>
        <v>MIZPP07126523141A</v>
      </c>
      <c r="B33" s="197" t="s">
        <v>236</v>
      </c>
      <c r="C33" s="198" t="s">
        <v>226</v>
      </c>
      <c r="D33" s="199" t="s">
        <v>1087</v>
      </c>
      <c r="E33" s="199">
        <v>26523141</v>
      </c>
      <c r="F33" s="199" t="s">
        <v>598</v>
      </c>
      <c r="G33" s="187"/>
      <c r="H33" s="198"/>
      <c r="I33" s="187"/>
      <c r="J33" s="187"/>
      <c r="K33" s="187"/>
      <c r="L33" s="200"/>
      <c r="M33" s="199" t="s">
        <v>598</v>
      </c>
      <c r="N33" s="198"/>
      <c r="O33" s="200"/>
      <c r="P33" s="198"/>
      <c r="Q33" s="199" t="s">
        <v>622</v>
      </c>
      <c r="R33" s="187"/>
      <c r="S33" s="198"/>
      <c r="T33" s="198"/>
      <c r="U33" s="187"/>
      <c r="V33" s="187"/>
      <c r="W33" s="187"/>
      <c r="X33" s="187"/>
      <c r="Y33" s="199" t="s">
        <v>565</v>
      </c>
      <c r="Z33" s="201">
        <v>0</v>
      </c>
      <c r="AA33" s="201">
        <v>0</v>
      </c>
      <c r="AB33" s="193">
        <f t="shared" si="1"/>
        <v>0</v>
      </c>
      <c r="AC33" s="201">
        <v>0</v>
      </c>
      <c r="AD33" s="201">
        <v>0</v>
      </c>
      <c r="AE33" s="193">
        <f t="shared" si="2"/>
        <v>0</v>
      </c>
      <c r="AF33" s="201">
        <v>0</v>
      </c>
      <c r="AG33" s="196"/>
      <c r="AH33" s="187"/>
      <c r="AI33" s="187"/>
      <c r="AJ33" s="187"/>
      <c r="AK33" s="193">
        <f t="shared" si="3"/>
        <v>0</v>
      </c>
      <c r="AL33" s="199" t="s">
        <v>29</v>
      </c>
      <c r="AM33" s="199" t="s">
        <v>29</v>
      </c>
      <c r="AN33" s="199" t="s">
        <v>29</v>
      </c>
      <c r="AO33" s="199" t="s">
        <v>29</v>
      </c>
      <c r="AP33" s="193"/>
      <c r="AQ33" s="201">
        <v>6000</v>
      </c>
      <c r="AR33" s="201">
        <v>0</v>
      </c>
      <c r="AS33" s="201">
        <v>45000</v>
      </c>
      <c r="AT33" s="201">
        <v>0</v>
      </c>
      <c r="AU33" s="201">
        <v>24000</v>
      </c>
      <c r="AV33" s="201">
        <v>0</v>
      </c>
      <c r="AW33" s="201">
        <v>0</v>
      </c>
      <c r="AX33" s="201">
        <v>0</v>
      </c>
      <c r="AY33" s="199" t="s">
        <v>687</v>
      </c>
      <c r="AZ33" s="199">
        <v>88000</v>
      </c>
      <c r="BA33" s="199" t="s">
        <v>688</v>
      </c>
      <c r="BB33" s="199">
        <v>135500</v>
      </c>
      <c r="BC33" s="199" t="s">
        <v>29</v>
      </c>
      <c r="BD33" s="199" t="s">
        <v>29</v>
      </c>
      <c r="BE33" s="199" t="s">
        <v>29</v>
      </c>
      <c r="BF33" s="199" t="s">
        <v>29</v>
      </c>
      <c r="BG33" s="199" t="s">
        <v>29</v>
      </c>
      <c r="BH33" s="199" t="s">
        <v>29</v>
      </c>
      <c r="BI33" s="199" t="s">
        <v>29</v>
      </c>
      <c r="BJ33" s="199" t="s">
        <v>29</v>
      </c>
      <c r="BK33" s="199" t="s">
        <v>29</v>
      </c>
      <c r="BL33" s="199" t="s">
        <v>29</v>
      </c>
      <c r="BM33" s="199" t="s">
        <v>29</v>
      </c>
      <c r="BN33" s="199" t="s">
        <v>29</v>
      </c>
      <c r="BO33" s="199" t="s">
        <v>29</v>
      </c>
      <c r="BP33" s="199" t="s">
        <v>29</v>
      </c>
      <c r="BQ33" s="193"/>
      <c r="BR33" s="187">
        <v>0</v>
      </c>
      <c r="BS33" s="202">
        <v>298500</v>
      </c>
      <c r="BT33" s="199">
        <v>128000</v>
      </c>
      <c r="BU33" s="192" t="s">
        <v>949</v>
      </c>
      <c r="BV33" s="192" t="s">
        <v>414</v>
      </c>
      <c r="BW33" s="192">
        <v>172</v>
      </c>
      <c r="BX33" s="192" t="s">
        <v>806</v>
      </c>
      <c r="BY33" s="192" t="s">
        <v>950</v>
      </c>
      <c r="BZ33" s="192" t="s">
        <v>414</v>
      </c>
      <c r="CA33" s="192">
        <v>80</v>
      </c>
      <c r="CB33" s="192" t="s">
        <v>808</v>
      </c>
      <c r="CC33" s="192" t="s">
        <v>809</v>
      </c>
      <c r="CD33" s="192" t="s">
        <v>97</v>
      </c>
      <c r="CE33" s="192">
        <v>50</v>
      </c>
      <c r="CF33" s="192" t="s">
        <v>466</v>
      </c>
      <c r="CG33" s="192" t="s">
        <v>951</v>
      </c>
      <c r="CH33" s="192" t="s">
        <v>489</v>
      </c>
      <c r="CI33" s="192">
        <v>200</v>
      </c>
      <c r="CJ33" s="192" t="s">
        <v>488</v>
      </c>
      <c r="CK33" s="192" t="s">
        <v>811</v>
      </c>
      <c r="CL33" s="192" t="s">
        <v>97</v>
      </c>
      <c r="CM33" s="192">
        <v>30</v>
      </c>
      <c r="CN33" s="192" t="s">
        <v>134</v>
      </c>
      <c r="CO33" s="192" t="s">
        <v>812</v>
      </c>
      <c r="CP33" s="192" t="s">
        <v>729</v>
      </c>
      <c r="CQ33" s="192">
        <v>2000</v>
      </c>
      <c r="CR33" s="192" t="s">
        <v>895</v>
      </c>
      <c r="CS33" s="192" t="s">
        <v>952</v>
      </c>
      <c r="CT33" s="192" t="s">
        <v>416</v>
      </c>
      <c r="CU33" s="192">
        <v>300</v>
      </c>
      <c r="CV33" s="192" t="s">
        <v>733</v>
      </c>
      <c r="CW33" s="192" t="s">
        <v>316</v>
      </c>
      <c r="CX33" s="192" t="s">
        <v>316</v>
      </c>
      <c r="CY33" s="192" t="s">
        <v>316</v>
      </c>
      <c r="CZ33" s="192" t="s">
        <v>316</v>
      </c>
      <c r="DA33" s="192" t="s">
        <v>316</v>
      </c>
      <c r="DB33" s="192" t="s">
        <v>316</v>
      </c>
      <c r="DC33" s="192" t="s">
        <v>316</v>
      </c>
      <c r="DD33" s="192" t="s">
        <v>316</v>
      </c>
      <c r="DE33" s="192" t="s">
        <v>316</v>
      </c>
      <c r="DF33" s="192" t="s">
        <v>316</v>
      </c>
      <c r="DG33" s="192" t="s">
        <v>316</v>
      </c>
      <c r="DH33" s="192" t="s">
        <v>316</v>
      </c>
      <c r="DI33" s="192" t="s">
        <v>316</v>
      </c>
      <c r="DJ33" s="192" t="s">
        <v>316</v>
      </c>
      <c r="DK33" s="192" t="s">
        <v>316</v>
      </c>
      <c r="DL33" s="192" t="s">
        <v>316</v>
      </c>
      <c r="DM33" s="192" t="s">
        <v>316</v>
      </c>
      <c r="DN33" s="192" t="s">
        <v>316</v>
      </c>
      <c r="DO33" s="192" t="s">
        <v>316</v>
      </c>
      <c r="DP33" s="192" t="s">
        <v>316</v>
      </c>
      <c r="DQ33" s="192" t="s">
        <v>316</v>
      </c>
      <c r="DR33" s="192" t="s">
        <v>316</v>
      </c>
      <c r="DS33" s="192" t="s">
        <v>316</v>
      </c>
      <c r="DT33" s="192" t="s">
        <v>316</v>
      </c>
      <c r="DU33" s="192" t="s">
        <v>316</v>
      </c>
      <c r="DV33" s="192" t="s">
        <v>316</v>
      </c>
      <c r="DW33" s="192" t="s">
        <v>316</v>
      </c>
      <c r="DX33" s="192" t="s">
        <v>316</v>
      </c>
      <c r="DY33" s="192" t="s">
        <v>316</v>
      </c>
      <c r="DZ33" s="192" t="s">
        <v>316</v>
      </c>
      <c r="EA33" s="192" t="s">
        <v>316</v>
      </c>
      <c r="EB33" s="192" t="s">
        <v>316</v>
      </c>
      <c r="EC33" s="192" t="s">
        <v>29</v>
      </c>
      <c r="ED33" s="192" t="s">
        <v>29</v>
      </c>
      <c r="EE33" s="192" t="s">
        <v>29</v>
      </c>
      <c r="EF33" s="192" t="s">
        <v>29</v>
      </c>
      <c r="EG33" s="192" t="s">
        <v>29</v>
      </c>
      <c r="EH33" s="192" t="s">
        <v>29</v>
      </c>
      <c r="EI33" s="192" t="s">
        <v>29</v>
      </c>
      <c r="EJ33" s="192" t="s">
        <v>29</v>
      </c>
      <c r="EK33" s="192" t="s">
        <v>29</v>
      </c>
      <c r="EL33" s="192" t="s">
        <v>29</v>
      </c>
      <c r="EM33" s="192" t="s">
        <v>29</v>
      </c>
      <c r="EN33" s="192" t="s">
        <v>29</v>
      </c>
    </row>
    <row r="34" spans="1:146" ht="15">
      <c r="A34" s="187" t="str">
        <f t="shared" si="0"/>
        <v>MIZPP07249629549A</v>
      </c>
      <c r="B34" s="197" t="s">
        <v>174</v>
      </c>
      <c r="C34" s="198" t="s">
        <v>226</v>
      </c>
      <c r="D34" s="199" t="s">
        <v>1088</v>
      </c>
      <c r="E34" s="199">
        <v>49629549</v>
      </c>
      <c r="F34" s="199" t="s">
        <v>253</v>
      </c>
      <c r="G34" s="187"/>
      <c r="H34" s="198"/>
      <c r="I34" s="187"/>
      <c r="J34" s="187"/>
      <c r="K34" s="187"/>
      <c r="L34" s="200"/>
      <c r="M34" s="199" t="s">
        <v>253</v>
      </c>
      <c r="N34" s="198"/>
      <c r="O34" s="200"/>
      <c r="P34" s="198"/>
      <c r="Q34" s="199" t="s">
        <v>262</v>
      </c>
      <c r="R34" s="187"/>
      <c r="S34" s="198"/>
      <c r="T34" s="198"/>
      <c r="U34" s="187"/>
      <c r="V34" s="187"/>
      <c r="W34" s="187"/>
      <c r="X34" s="187"/>
      <c r="Y34" s="199" t="s">
        <v>566</v>
      </c>
      <c r="Z34" s="201">
        <v>220000</v>
      </c>
      <c r="AA34" s="201">
        <v>0</v>
      </c>
      <c r="AB34" s="193">
        <f t="shared" si="1"/>
        <v>220000</v>
      </c>
      <c r="AC34" s="201">
        <v>25000</v>
      </c>
      <c r="AD34" s="201">
        <v>0</v>
      </c>
      <c r="AE34" s="193">
        <f t="shared" si="2"/>
        <v>25000</v>
      </c>
      <c r="AF34" s="201">
        <v>0</v>
      </c>
      <c r="AG34" s="196"/>
      <c r="AH34" s="187"/>
      <c r="AI34" s="187"/>
      <c r="AJ34" s="187"/>
      <c r="AK34" s="193">
        <f t="shared" si="3"/>
        <v>0</v>
      </c>
      <c r="AL34" s="199" t="s">
        <v>29</v>
      </c>
      <c r="AM34" s="199" t="s">
        <v>29</v>
      </c>
      <c r="AN34" s="199" t="s">
        <v>29</v>
      </c>
      <c r="AO34" s="199" t="s">
        <v>29</v>
      </c>
      <c r="AP34" s="193"/>
      <c r="AQ34" s="201">
        <v>0</v>
      </c>
      <c r="AR34" s="201">
        <v>0</v>
      </c>
      <c r="AS34" s="201">
        <v>10000</v>
      </c>
      <c r="AT34" s="201">
        <v>0</v>
      </c>
      <c r="AU34" s="201">
        <v>0</v>
      </c>
      <c r="AV34" s="201">
        <v>0</v>
      </c>
      <c r="AW34" s="201">
        <v>0</v>
      </c>
      <c r="AX34" s="201">
        <v>0</v>
      </c>
      <c r="AY34" s="199" t="s">
        <v>637</v>
      </c>
      <c r="AZ34" s="199">
        <v>0</v>
      </c>
      <c r="BA34" s="199" t="s">
        <v>29</v>
      </c>
      <c r="BB34" s="199" t="s">
        <v>29</v>
      </c>
      <c r="BC34" s="199" t="s">
        <v>29</v>
      </c>
      <c r="BD34" s="199" t="s">
        <v>29</v>
      </c>
      <c r="BE34" s="199" t="s">
        <v>29</v>
      </c>
      <c r="BF34" s="199" t="s">
        <v>29</v>
      </c>
      <c r="BG34" s="199" t="s">
        <v>29</v>
      </c>
      <c r="BH34" s="199" t="s">
        <v>29</v>
      </c>
      <c r="BI34" s="199" t="s">
        <v>29</v>
      </c>
      <c r="BJ34" s="199" t="s">
        <v>29</v>
      </c>
      <c r="BK34" s="199" t="s">
        <v>29</v>
      </c>
      <c r="BL34" s="199" t="s">
        <v>29</v>
      </c>
      <c r="BM34" s="199" t="s">
        <v>29</v>
      </c>
      <c r="BN34" s="199" t="s">
        <v>29</v>
      </c>
      <c r="BO34" s="199" t="s">
        <v>29</v>
      </c>
      <c r="BP34" s="199" t="s">
        <v>29</v>
      </c>
      <c r="BQ34" s="193"/>
      <c r="BR34" s="187">
        <v>45000</v>
      </c>
      <c r="BS34" s="202">
        <v>300000</v>
      </c>
      <c r="BT34" s="199">
        <v>212080</v>
      </c>
      <c r="BU34" s="192" t="s">
        <v>953</v>
      </c>
      <c r="BV34" s="192" t="s">
        <v>414</v>
      </c>
      <c r="BW34" s="192">
        <v>300</v>
      </c>
      <c r="BX34" s="192" t="s">
        <v>808</v>
      </c>
      <c r="BY34" s="192" t="s">
        <v>954</v>
      </c>
      <c r="BZ34" s="192" t="s">
        <v>144</v>
      </c>
      <c r="CA34" s="192">
        <v>10</v>
      </c>
      <c r="CB34" s="192" t="s">
        <v>948</v>
      </c>
      <c r="CC34" s="192" t="s">
        <v>726</v>
      </c>
      <c r="CD34" s="192" t="s">
        <v>725</v>
      </c>
      <c r="CE34" s="192">
        <v>100</v>
      </c>
      <c r="CF34" s="192" t="s">
        <v>726</v>
      </c>
      <c r="CG34" s="192" t="s">
        <v>955</v>
      </c>
      <c r="CH34" s="192" t="s">
        <v>102</v>
      </c>
      <c r="CI34" s="192">
        <v>800</v>
      </c>
      <c r="CJ34" s="192" t="s">
        <v>956</v>
      </c>
      <c r="CK34" s="192" t="s">
        <v>957</v>
      </c>
      <c r="CL34" s="192" t="s">
        <v>97</v>
      </c>
      <c r="CM34" s="192">
        <v>6</v>
      </c>
      <c r="CN34" s="192" t="s">
        <v>466</v>
      </c>
      <c r="CO34" s="192" t="s">
        <v>958</v>
      </c>
      <c r="CP34" s="192" t="s">
        <v>489</v>
      </c>
      <c r="CQ34" s="192">
        <v>40</v>
      </c>
      <c r="CR34" s="192" t="s">
        <v>488</v>
      </c>
      <c r="CS34" s="192" t="s">
        <v>959</v>
      </c>
      <c r="CT34" s="192" t="s">
        <v>97</v>
      </c>
      <c r="CU34" s="192">
        <v>3</v>
      </c>
      <c r="CV34" s="192" t="s">
        <v>133</v>
      </c>
      <c r="CW34" s="192" t="s">
        <v>101</v>
      </c>
      <c r="CX34" s="192" t="s">
        <v>97</v>
      </c>
      <c r="CY34" s="192">
        <v>24</v>
      </c>
      <c r="CZ34" s="192" t="s">
        <v>134</v>
      </c>
      <c r="DA34" s="192" t="s">
        <v>812</v>
      </c>
      <c r="DB34" s="192" t="s">
        <v>729</v>
      </c>
      <c r="DC34" s="192">
        <v>100000</v>
      </c>
      <c r="DD34" s="192" t="s">
        <v>730</v>
      </c>
      <c r="DE34" s="192" t="s">
        <v>960</v>
      </c>
      <c r="DF34" s="192" t="s">
        <v>735</v>
      </c>
      <c r="DG34" s="192">
        <v>10</v>
      </c>
      <c r="DH34" s="192" t="s">
        <v>423</v>
      </c>
      <c r="DI34" s="192" t="s">
        <v>316</v>
      </c>
      <c r="DJ34" s="192" t="s">
        <v>316</v>
      </c>
      <c r="DK34" s="192" t="s">
        <v>316</v>
      </c>
      <c r="DL34" s="192" t="s">
        <v>316</v>
      </c>
      <c r="DM34" s="192" t="s">
        <v>316</v>
      </c>
      <c r="DN34" s="192" t="s">
        <v>316</v>
      </c>
      <c r="DO34" s="192" t="s">
        <v>316</v>
      </c>
      <c r="DP34" s="192" t="s">
        <v>316</v>
      </c>
      <c r="DQ34" s="192" t="s">
        <v>316</v>
      </c>
      <c r="DR34" s="192" t="s">
        <v>316</v>
      </c>
      <c r="DS34" s="192" t="s">
        <v>316</v>
      </c>
      <c r="DT34" s="192" t="s">
        <v>316</v>
      </c>
      <c r="DU34" s="192" t="s">
        <v>316</v>
      </c>
      <c r="DV34" s="192" t="s">
        <v>316</v>
      </c>
      <c r="DW34" s="192" t="s">
        <v>316</v>
      </c>
      <c r="DX34" s="192" t="s">
        <v>316</v>
      </c>
      <c r="DY34" s="192" t="s">
        <v>316</v>
      </c>
      <c r="DZ34" s="192" t="s">
        <v>316</v>
      </c>
      <c r="EA34" s="192" t="s">
        <v>316</v>
      </c>
      <c r="EB34" s="192" t="s">
        <v>316</v>
      </c>
      <c r="EC34" s="192" t="s">
        <v>29</v>
      </c>
      <c r="ED34" s="192" t="s">
        <v>29</v>
      </c>
      <c r="EE34" s="192" t="s">
        <v>29</v>
      </c>
      <c r="EF34" s="192" t="s">
        <v>29</v>
      </c>
      <c r="EG34" s="192" t="s">
        <v>29</v>
      </c>
      <c r="EH34" s="192" t="s">
        <v>29</v>
      </c>
      <c r="EI34" s="192" t="s">
        <v>29</v>
      </c>
      <c r="EJ34" s="192" t="s">
        <v>29</v>
      </c>
      <c r="EK34" s="192" t="s">
        <v>29</v>
      </c>
      <c r="EL34" s="192" t="s">
        <v>29</v>
      </c>
      <c r="EM34" s="192" t="s">
        <v>29</v>
      </c>
      <c r="EN34" s="192" t="s">
        <v>29</v>
      </c>
    </row>
    <row r="35" spans="1:146" ht="15">
      <c r="A35" s="187" t="str">
        <f t="shared" si="0"/>
        <v>MIZPP07470947261A</v>
      </c>
      <c r="B35" s="197" t="s">
        <v>523</v>
      </c>
      <c r="C35" s="198" t="s">
        <v>226</v>
      </c>
      <c r="D35" s="199" t="s">
        <v>1102</v>
      </c>
      <c r="E35" s="199">
        <v>70947261</v>
      </c>
      <c r="F35" s="199" t="s">
        <v>251</v>
      </c>
      <c r="G35" s="187"/>
      <c r="H35" s="198"/>
      <c r="I35" s="187"/>
      <c r="J35" s="187"/>
      <c r="K35" s="187"/>
      <c r="L35" s="200"/>
      <c r="M35" s="199" t="s">
        <v>251</v>
      </c>
      <c r="N35" s="198"/>
      <c r="O35" s="200"/>
      <c r="P35" s="198"/>
      <c r="Q35" s="199" t="s">
        <v>631</v>
      </c>
      <c r="R35" s="187"/>
      <c r="S35" s="198"/>
      <c r="T35" s="198"/>
      <c r="U35" s="187"/>
      <c r="V35" s="187"/>
      <c r="W35" s="187"/>
      <c r="X35" s="187"/>
      <c r="Y35" s="199" t="s">
        <v>567</v>
      </c>
      <c r="Z35" s="201">
        <v>0</v>
      </c>
      <c r="AA35" s="201">
        <v>125000</v>
      </c>
      <c r="AB35" s="193">
        <f t="shared" si="1"/>
        <v>125000</v>
      </c>
      <c r="AC35" s="201">
        <v>0</v>
      </c>
      <c r="AD35" s="201">
        <v>0</v>
      </c>
      <c r="AE35" s="193">
        <f t="shared" si="2"/>
        <v>0</v>
      </c>
      <c r="AF35" s="201">
        <v>5000</v>
      </c>
      <c r="AG35" s="196"/>
      <c r="AH35" s="187"/>
      <c r="AI35" s="187"/>
      <c r="AJ35" s="187"/>
      <c r="AK35" s="193">
        <f t="shared" si="3"/>
        <v>5000</v>
      </c>
      <c r="AL35" s="199" t="s">
        <v>29</v>
      </c>
      <c r="AM35" s="199" t="s">
        <v>29</v>
      </c>
      <c r="AN35" s="199" t="s">
        <v>29</v>
      </c>
      <c r="AO35" s="199" t="s">
        <v>29</v>
      </c>
      <c r="AP35" s="193"/>
      <c r="AQ35" s="201">
        <v>7000</v>
      </c>
      <c r="AR35" s="201">
        <v>10000</v>
      </c>
      <c r="AS35" s="201">
        <v>3000</v>
      </c>
      <c r="AT35" s="201">
        <v>4000</v>
      </c>
      <c r="AU35" s="201">
        <v>0</v>
      </c>
      <c r="AV35" s="201">
        <v>15000</v>
      </c>
      <c r="AW35" s="201">
        <v>0</v>
      </c>
      <c r="AX35" s="201">
        <v>0</v>
      </c>
      <c r="AY35" s="199" t="s">
        <v>689</v>
      </c>
      <c r="AZ35" s="199">
        <v>8000</v>
      </c>
      <c r="BA35" s="199" t="s">
        <v>690</v>
      </c>
      <c r="BB35" s="199">
        <v>5000</v>
      </c>
      <c r="BC35" s="199" t="s">
        <v>691</v>
      </c>
      <c r="BD35" s="199">
        <v>3000</v>
      </c>
      <c r="BE35" s="199" t="s">
        <v>692</v>
      </c>
      <c r="BF35" s="199">
        <v>25000</v>
      </c>
      <c r="BG35" s="199" t="s">
        <v>693</v>
      </c>
      <c r="BH35" s="199">
        <v>70000</v>
      </c>
      <c r="BI35" s="199" t="s">
        <v>29</v>
      </c>
      <c r="BJ35" s="199" t="s">
        <v>29</v>
      </c>
      <c r="BK35" s="199" t="s">
        <v>29</v>
      </c>
      <c r="BL35" s="199" t="s">
        <v>29</v>
      </c>
      <c r="BM35" s="199" t="s">
        <v>29</v>
      </c>
      <c r="BN35" s="199" t="s">
        <v>29</v>
      </c>
      <c r="BO35" s="199" t="s">
        <v>29</v>
      </c>
      <c r="BP35" s="199" t="s">
        <v>29</v>
      </c>
      <c r="BQ35" s="193"/>
      <c r="BR35" s="187">
        <v>20000</v>
      </c>
      <c r="BS35" s="202">
        <v>300000</v>
      </c>
      <c r="BT35" s="199">
        <v>204300</v>
      </c>
      <c r="BU35" s="192" t="s">
        <v>961</v>
      </c>
      <c r="BV35" s="192" t="s">
        <v>97</v>
      </c>
      <c r="BW35" s="192">
        <v>9</v>
      </c>
      <c r="BX35" s="192" t="s">
        <v>466</v>
      </c>
      <c r="BY35" s="192" t="s">
        <v>962</v>
      </c>
      <c r="BZ35" s="192" t="s">
        <v>489</v>
      </c>
      <c r="CA35" s="192">
        <v>70</v>
      </c>
      <c r="CB35" s="192" t="s">
        <v>488</v>
      </c>
      <c r="CC35" s="192" t="s">
        <v>963</v>
      </c>
      <c r="CD35" s="192" t="s">
        <v>97</v>
      </c>
      <c r="CE35" s="192">
        <v>1</v>
      </c>
      <c r="CF35" s="192" t="s">
        <v>137</v>
      </c>
      <c r="CG35" s="192" t="s">
        <v>964</v>
      </c>
      <c r="CH35" s="192" t="s">
        <v>416</v>
      </c>
      <c r="CI35" s="192">
        <v>50</v>
      </c>
      <c r="CJ35" s="192" t="s">
        <v>733</v>
      </c>
      <c r="CK35" s="192" t="s">
        <v>425</v>
      </c>
      <c r="CL35" s="192" t="s">
        <v>97</v>
      </c>
      <c r="CM35" s="192">
        <v>1</v>
      </c>
      <c r="CN35" s="192" t="s">
        <v>137</v>
      </c>
      <c r="CO35" s="192" t="s">
        <v>965</v>
      </c>
      <c r="CP35" s="192" t="s">
        <v>416</v>
      </c>
      <c r="CQ35" s="192">
        <v>1000</v>
      </c>
      <c r="CR35" s="192" t="s">
        <v>733</v>
      </c>
      <c r="CS35" s="192" t="s">
        <v>424</v>
      </c>
      <c r="CT35" s="192" t="s">
        <v>97</v>
      </c>
      <c r="CU35" s="192">
        <v>1</v>
      </c>
      <c r="CV35" s="192" t="s">
        <v>137</v>
      </c>
      <c r="CW35" s="192" t="s">
        <v>966</v>
      </c>
      <c r="CX35" s="192" t="s">
        <v>416</v>
      </c>
      <c r="CY35" s="192">
        <v>3</v>
      </c>
      <c r="CZ35" s="192" t="s">
        <v>733</v>
      </c>
      <c r="DA35" s="192" t="s">
        <v>967</v>
      </c>
      <c r="DB35" s="192" t="s">
        <v>97</v>
      </c>
      <c r="DC35" s="192">
        <v>4</v>
      </c>
      <c r="DD35" s="192" t="s">
        <v>133</v>
      </c>
      <c r="DE35" s="192" t="s">
        <v>968</v>
      </c>
      <c r="DF35" s="192" t="s">
        <v>97</v>
      </c>
      <c r="DG35" s="192">
        <v>30</v>
      </c>
      <c r="DH35" s="192" t="s">
        <v>423</v>
      </c>
      <c r="DI35" s="192" t="s">
        <v>426</v>
      </c>
      <c r="DJ35" s="192" t="s">
        <v>97</v>
      </c>
      <c r="DK35" s="192">
        <v>10</v>
      </c>
      <c r="DL35" s="192" t="s">
        <v>134</v>
      </c>
      <c r="DM35" s="192" t="s">
        <v>927</v>
      </c>
      <c r="DN35" s="192" t="s">
        <v>729</v>
      </c>
      <c r="DO35" s="192">
        <v>100000</v>
      </c>
      <c r="DP35" s="192" t="s">
        <v>895</v>
      </c>
      <c r="DQ35" s="192" t="s">
        <v>969</v>
      </c>
      <c r="DR35" s="192" t="s">
        <v>97</v>
      </c>
      <c r="DS35" s="192">
        <v>1</v>
      </c>
      <c r="DT35" s="192" t="s">
        <v>133</v>
      </c>
      <c r="DU35" s="192" t="s">
        <v>100</v>
      </c>
      <c r="DV35" s="192" t="s">
        <v>97</v>
      </c>
      <c r="DW35" s="192">
        <v>3</v>
      </c>
      <c r="DX35" s="192" t="s">
        <v>137</v>
      </c>
      <c r="DY35" s="192" t="s">
        <v>970</v>
      </c>
      <c r="DZ35" s="192" t="s">
        <v>416</v>
      </c>
      <c r="EA35" s="192">
        <v>15000</v>
      </c>
      <c r="EB35" s="192" t="s">
        <v>733</v>
      </c>
      <c r="EC35" s="192" t="s">
        <v>29</v>
      </c>
      <c r="ED35" s="192" t="s">
        <v>29</v>
      </c>
      <c r="EE35" s="192" t="s">
        <v>29</v>
      </c>
      <c r="EF35" s="192" t="s">
        <v>29</v>
      </c>
      <c r="EG35" s="192" t="s">
        <v>29</v>
      </c>
      <c r="EH35" s="192" t="s">
        <v>29</v>
      </c>
      <c r="EI35" s="192" t="s">
        <v>29</v>
      </c>
      <c r="EJ35" s="192" t="s">
        <v>29</v>
      </c>
      <c r="EK35" s="192" t="s">
        <v>29</v>
      </c>
      <c r="EL35" s="192" t="s">
        <v>29</v>
      </c>
      <c r="EM35" s="192" t="s">
        <v>29</v>
      </c>
      <c r="EN35" s="192" t="s">
        <v>29</v>
      </c>
    </row>
    <row r="36" spans="1:146" ht="15">
      <c r="A36" s="187" t="str">
        <f t="shared" si="0"/>
        <v>MIZPP07846747362A</v>
      </c>
      <c r="B36" s="197" t="s">
        <v>237</v>
      </c>
      <c r="C36" s="198" t="s">
        <v>226</v>
      </c>
      <c r="D36" s="199" t="s">
        <v>1103</v>
      </c>
      <c r="E36" s="199">
        <v>46747362</v>
      </c>
      <c r="F36" s="199" t="s">
        <v>611</v>
      </c>
      <c r="G36" s="187"/>
      <c r="H36" s="198"/>
      <c r="I36" s="187"/>
      <c r="J36" s="187"/>
      <c r="K36" s="187"/>
      <c r="L36" s="200"/>
      <c r="M36" s="199" t="s">
        <v>611</v>
      </c>
      <c r="N36" s="198"/>
      <c r="O36" s="200"/>
      <c r="P36" s="198"/>
      <c r="Q36" s="199" t="s">
        <v>264</v>
      </c>
      <c r="R36" s="187"/>
      <c r="S36" s="198"/>
      <c r="T36" s="198"/>
      <c r="U36" s="187"/>
      <c r="V36" s="187"/>
      <c r="W36" s="187"/>
      <c r="X36" s="187"/>
      <c r="Y36" s="199" t="s">
        <v>568</v>
      </c>
      <c r="Z36" s="201">
        <v>300000</v>
      </c>
      <c r="AA36" s="201">
        <v>0</v>
      </c>
      <c r="AB36" s="193">
        <f t="shared" si="1"/>
        <v>300000</v>
      </c>
      <c r="AC36" s="201">
        <v>0</v>
      </c>
      <c r="AD36" s="201">
        <v>0</v>
      </c>
      <c r="AE36" s="193">
        <f t="shared" si="2"/>
        <v>0</v>
      </c>
      <c r="AF36" s="201">
        <v>0</v>
      </c>
      <c r="AG36" s="196"/>
      <c r="AH36" s="187"/>
      <c r="AI36" s="187"/>
      <c r="AJ36" s="187"/>
      <c r="AK36" s="193">
        <f t="shared" si="3"/>
        <v>0</v>
      </c>
      <c r="AL36" s="199" t="s">
        <v>29</v>
      </c>
      <c r="AM36" s="199" t="s">
        <v>29</v>
      </c>
      <c r="AN36" s="199" t="s">
        <v>29</v>
      </c>
      <c r="AO36" s="199" t="s">
        <v>29</v>
      </c>
      <c r="AP36" s="193"/>
      <c r="AQ36" s="201">
        <v>0</v>
      </c>
      <c r="AR36" s="201">
        <v>0</v>
      </c>
      <c r="AS36" s="201">
        <v>0</v>
      </c>
      <c r="AT36" s="201">
        <v>0</v>
      </c>
      <c r="AU36" s="201">
        <v>0</v>
      </c>
      <c r="AV36" s="201">
        <v>0</v>
      </c>
      <c r="AW36" s="201">
        <v>0</v>
      </c>
      <c r="AX36" s="201">
        <v>0</v>
      </c>
      <c r="AY36" s="199" t="s">
        <v>694</v>
      </c>
      <c r="AZ36" s="199">
        <v>0</v>
      </c>
      <c r="BA36" s="199" t="s">
        <v>695</v>
      </c>
      <c r="BB36" s="199">
        <v>0</v>
      </c>
      <c r="BC36" s="199" t="s">
        <v>696</v>
      </c>
      <c r="BD36" s="199">
        <v>0</v>
      </c>
      <c r="BE36" s="199" t="s">
        <v>29</v>
      </c>
      <c r="BF36" s="199" t="s">
        <v>29</v>
      </c>
      <c r="BG36" s="199" t="s">
        <v>29</v>
      </c>
      <c r="BH36" s="199" t="s">
        <v>29</v>
      </c>
      <c r="BI36" s="199" t="s">
        <v>29</v>
      </c>
      <c r="BJ36" s="199" t="s">
        <v>29</v>
      </c>
      <c r="BK36" s="199" t="s">
        <v>29</v>
      </c>
      <c r="BL36" s="199" t="s">
        <v>29</v>
      </c>
      <c r="BM36" s="199" t="s">
        <v>29</v>
      </c>
      <c r="BN36" s="199" t="s">
        <v>29</v>
      </c>
      <c r="BO36" s="199" t="s">
        <v>29</v>
      </c>
      <c r="BP36" s="199" t="s">
        <v>29</v>
      </c>
      <c r="BQ36" s="193"/>
      <c r="BR36" s="187">
        <v>0</v>
      </c>
      <c r="BS36" s="202">
        <v>300000</v>
      </c>
      <c r="BT36" s="199">
        <v>327736</v>
      </c>
      <c r="BU36" s="192" t="s">
        <v>971</v>
      </c>
      <c r="BV36" s="192" t="s">
        <v>102</v>
      </c>
      <c r="BW36" s="192">
        <v>20</v>
      </c>
      <c r="BX36" s="192" t="s">
        <v>852</v>
      </c>
      <c r="BY36" s="192" t="s">
        <v>972</v>
      </c>
      <c r="BZ36" s="192" t="s">
        <v>97</v>
      </c>
      <c r="CA36" s="192">
        <v>3</v>
      </c>
      <c r="CB36" s="192" t="s">
        <v>466</v>
      </c>
      <c r="CC36" s="192" t="s">
        <v>973</v>
      </c>
      <c r="CD36" s="192" t="s">
        <v>489</v>
      </c>
      <c r="CE36" s="192">
        <v>30</v>
      </c>
      <c r="CF36" s="192" t="s">
        <v>488</v>
      </c>
      <c r="CG36" s="192" t="s">
        <v>974</v>
      </c>
      <c r="CH36" s="192" t="s">
        <v>97</v>
      </c>
      <c r="CI36" s="192">
        <v>10</v>
      </c>
      <c r="CJ36" s="192" t="s">
        <v>134</v>
      </c>
      <c r="CK36" s="192" t="s">
        <v>730</v>
      </c>
      <c r="CL36" s="192" t="s">
        <v>749</v>
      </c>
      <c r="CM36" s="192">
        <v>900</v>
      </c>
      <c r="CN36" s="192" t="s">
        <v>730</v>
      </c>
      <c r="CO36" s="192" t="s">
        <v>975</v>
      </c>
      <c r="CP36" s="192" t="s">
        <v>97</v>
      </c>
      <c r="CQ36" s="192">
        <v>1</v>
      </c>
      <c r="CR36" s="192" t="s">
        <v>137</v>
      </c>
      <c r="CS36" s="192" t="s">
        <v>976</v>
      </c>
      <c r="CT36" s="192" t="s">
        <v>416</v>
      </c>
      <c r="CU36" s="192">
        <v>1000</v>
      </c>
      <c r="CV36" s="192" t="s">
        <v>733</v>
      </c>
      <c r="CW36" s="192" t="s">
        <v>139</v>
      </c>
      <c r="CX36" s="192" t="s">
        <v>144</v>
      </c>
      <c r="CY36" s="192">
        <v>40</v>
      </c>
      <c r="CZ36" s="192" t="s">
        <v>948</v>
      </c>
      <c r="DA36" s="192" t="s">
        <v>930</v>
      </c>
      <c r="DB36" s="192" t="s">
        <v>725</v>
      </c>
      <c r="DC36" s="192">
        <v>120</v>
      </c>
      <c r="DD36" s="192" t="s">
        <v>726</v>
      </c>
      <c r="DE36" s="192" t="s">
        <v>316</v>
      </c>
      <c r="DF36" s="192" t="s">
        <v>316</v>
      </c>
      <c r="DG36" s="192" t="s">
        <v>316</v>
      </c>
      <c r="DH36" s="192" t="s">
        <v>316</v>
      </c>
      <c r="DI36" s="192" t="s">
        <v>316</v>
      </c>
      <c r="DJ36" s="192" t="s">
        <v>316</v>
      </c>
      <c r="DK36" s="192" t="s">
        <v>316</v>
      </c>
      <c r="DL36" s="192" t="s">
        <v>316</v>
      </c>
      <c r="DM36" s="192" t="s">
        <v>316</v>
      </c>
      <c r="DN36" s="192" t="s">
        <v>316</v>
      </c>
      <c r="DO36" s="192" t="s">
        <v>316</v>
      </c>
      <c r="DP36" s="192" t="s">
        <v>316</v>
      </c>
      <c r="DQ36" s="192" t="s">
        <v>316</v>
      </c>
      <c r="DR36" s="192" t="s">
        <v>316</v>
      </c>
      <c r="DS36" s="192" t="s">
        <v>316</v>
      </c>
      <c r="DT36" s="192" t="s">
        <v>316</v>
      </c>
      <c r="DU36" s="192" t="s">
        <v>316</v>
      </c>
      <c r="DV36" s="192" t="s">
        <v>316</v>
      </c>
      <c r="DW36" s="192" t="s">
        <v>316</v>
      </c>
      <c r="DX36" s="192" t="s">
        <v>316</v>
      </c>
      <c r="DY36" s="192" t="s">
        <v>316</v>
      </c>
      <c r="DZ36" s="192" t="s">
        <v>316</v>
      </c>
      <c r="EA36" s="192" t="s">
        <v>316</v>
      </c>
      <c r="EB36" s="192" t="s">
        <v>316</v>
      </c>
      <c r="EC36" s="192" t="s">
        <v>29</v>
      </c>
      <c r="ED36" s="192" t="s">
        <v>29</v>
      </c>
      <c r="EE36" s="192" t="s">
        <v>29</v>
      </c>
      <c r="EF36" s="192" t="s">
        <v>29</v>
      </c>
      <c r="EG36" s="192" t="s">
        <v>29</v>
      </c>
      <c r="EH36" s="192" t="s">
        <v>29</v>
      </c>
      <c r="EI36" s="192" t="s">
        <v>29</v>
      </c>
      <c r="EJ36" s="192" t="s">
        <v>29</v>
      </c>
      <c r="EK36" s="192" t="s">
        <v>29</v>
      </c>
      <c r="EL36" s="192" t="s">
        <v>29</v>
      </c>
      <c r="EM36" s="192" t="s">
        <v>29</v>
      </c>
      <c r="EN36" s="192" t="s">
        <v>29</v>
      </c>
    </row>
    <row r="37" spans="1:146" ht="15">
      <c r="A37" s="187" t="str">
        <f t="shared" si="0"/>
        <v>MIZPP08070947805A</v>
      </c>
      <c r="B37" s="197" t="s">
        <v>524</v>
      </c>
      <c r="C37" s="198" t="s">
        <v>226</v>
      </c>
      <c r="D37" s="199" t="s">
        <v>1081</v>
      </c>
      <c r="E37" s="199">
        <v>70947805</v>
      </c>
      <c r="F37" s="199" t="s">
        <v>603</v>
      </c>
      <c r="G37" s="187"/>
      <c r="H37" s="198"/>
      <c r="I37" s="187"/>
      <c r="J37" s="187"/>
      <c r="K37" s="187"/>
      <c r="L37" s="200"/>
      <c r="M37" s="199" t="s">
        <v>603</v>
      </c>
      <c r="N37" s="198"/>
      <c r="O37" s="200"/>
      <c r="P37" s="198"/>
      <c r="Q37" s="199" t="s">
        <v>621</v>
      </c>
      <c r="R37" s="187"/>
      <c r="S37" s="198"/>
      <c r="T37" s="198"/>
      <c r="U37" s="187"/>
      <c r="V37" s="187"/>
      <c r="W37" s="187"/>
      <c r="X37" s="187"/>
      <c r="Y37" s="199" t="s">
        <v>569</v>
      </c>
      <c r="Z37" s="201">
        <v>164000</v>
      </c>
      <c r="AA37" s="201">
        <v>20000</v>
      </c>
      <c r="AB37" s="193">
        <f t="shared" si="1"/>
        <v>184000</v>
      </c>
      <c r="AC37" s="201">
        <v>6000</v>
      </c>
      <c r="AD37" s="201">
        <v>0</v>
      </c>
      <c r="AE37" s="193">
        <f t="shared" si="2"/>
        <v>6000</v>
      </c>
      <c r="AF37" s="201">
        <v>1500</v>
      </c>
      <c r="AG37" s="196"/>
      <c r="AH37" s="187"/>
      <c r="AI37" s="187"/>
      <c r="AJ37" s="187"/>
      <c r="AK37" s="193">
        <f t="shared" si="3"/>
        <v>1500</v>
      </c>
      <c r="AL37" s="199" t="s">
        <v>29</v>
      </c>
      <c r="AM37" s="199" t="s">
        <v>29</v>
      </c>
      <c r="AN37" s="199" t="s">
        <v>29</v>
      </c>
      <c r="AO37" s="199" t="s">
        <v>29</v>
      </c>
      <c r="AP37" s="193"/>
      <c r="AQ37" s="201">
        <v>5000</v>
      </c>
      <c r="AR37" s="201">
        <v>10000</v>
      </c>
      <c r="AS37" s="201">
        <v>8000</v>
      </c>
      <c r="AT37" s="201">
        <v>6000</v>
      </c>
      <c r="AU37" s="201">
        <v>4000</v>
      </c>
      <c r="AV37" s="201">
        <v>3000</v>
      </c>
      <c r="AW37" s="201">
        <v>500</v>
      </c>
      <c r="AX37" s="201">
        <v>0</v>
      </c>
      <c r="AY37" s="199" t="s">
        <v>317</v>
      </c>
      <c r="AZ37" s="199">
        <v>5000</v>
      </c>
      <c r="BA37" s="199" t="s">
        <v>697</v>
      </c>
      <c r="BB37" s="199">
        <v>6000</v>
      </c>
      <c r="BC37" s="199" t="s">
        <v>698</v>
      </c>
      <c r="BD37" s="199">
        <v>4000</v>
      </c>
      <c r="BE37" s="199" t="s">
        <v>699</v>
      </c>
      <c r="BF37" s="199">
        <v>7500</v>
      </c>
      <c r="BG37" s="199" t="s">
        <v>29</v>
      </c>
      <c r="BH37" s="199" t="s">
        <v>29</v>
      </c>
      <c r="BI37" s="199" t="s">
        <v>29</v>
      </c>
      <c r="BJ37" s="199" t="s">
        <v>29</v>
      </c>
      <c r="BK37" s="199" t="s">
        <v>29</v>
      </c>
      <c r="BL37" s="199" t="s">
        <v>29</v>
      </c>
      <c r="BM37" s="199" t="s">
        <v>29</v>
      </c>
      <c r="BN37" s="199" t="s">
        <v>29</v>
      </c>
      <c r="BO37" s="199" t="s">
        <v>29</v>
      </c>
      <c r="BP37" s="199" t="s">
        <v>29</v>
      </c>
      <c r="BQ37" s="193"/>
      <c r="BR37" s="187">
        <v>24000</v>
      </c>
      <c r="BS37" s="202">
        <v>274500</v>
      </c>
      <c r="BT37" s="199">
        <v>192250</v>
      </c>
      <c r="BU37" s="192" t="s">
        <v>977</v>
      </c>
      <c r="BV37" s="192" t="s">
        <v>97</v>
      </c>
      <c r="BW37" s="192">
        <v>5</v>
      </c>
      <c r="BX37" s="192" t="s">
        <v>466</v>
      </c>
      <c r="BY37" s="192" t="s">
        <v>978</v>
      </c>
      <c r="BZ37" s="192" t="s">
        <v>489</v>
      </c>
      <c r="CA37" s="192">
        <v>50</v>
      </c>
      <c r="CB37" s="192" t="s">
        <v>488</v>
      </c>
      <c r="CC37" s="192" t="s">
        <v>979</v>
      </c>
      <c r="CD37" s="192" t="s">
        <v>97</v>
      </c>
      <c r="CE37" s="192">
        <v>2</v>
      </c>
      <c r="CF37" s="192" t="s">
        <v>133</v>
      </c>
      <c r="CG37" s="192" t="s">
        <v>140</v>
      </c>
      <c r="CH37" s="192" t="s">
        <v>97</v>
      </c>
      <c r="CI37" s="192">
        <v>3</v>
      </c>
      <c r="CJ37" s="192" t="s">
        <v>137</v>
      </c>
      <c r="CK37" s="192" t="s">
        <v>980</v>
      </c>
      <c r="CL37" s="192" t="s">
        <v>416</v>
      </c>
      <c r="CM37" s="192">
        <v>5000</v>
      </c>
      <c r="CN37" s="192" t="s">
        <v>733</v>
      </c>
      <c r="CO37" s="192" t="s">
        <v>981</v>
      </c>
      <c r="CP37" s="192" t="s">
        <v>97</v>
      </c>
      <c r="CQ37" s="192">
        <v>5</v>
      </c>
      <c r="CR37" s="192" t="s">
        <v>134</v>
      </c>
      <c r="CS37" s="192" t="s">
        <v>982</v>
      </c>
      <c r="CT37" s="192" t="s">
        <v>749</v>
      </c>
      <c r="CU37" s="192">
        <v>20000</v>
      </c>
      <c r="CV37" s="192" t="s">
        <v>730</v>
      </c>
      <c r="CW37" s="192" t="s">
        <v>983</v>
      </c>
      <c r="CX37" s="192" t="s">
        <v>97</v>
      </c>
      <c r="CY37" s="192">
        <v>1</v>
      </c>
      <c r="CZ37" s="192" t="s">
        <v>137</v>
      </c>
      <c r="DA37" s="192" t="s">
        <v>984</v>
      </c>
      <c r="DB37" s="192" t="s">
        <v>416</v>
      </c>
      <c r="DC37" s="192">
        <v>150</v>
      </c>
      <c r="DD37" s="192" t="s">
        <v>733</v>
      </c>
      <c r="DE37" s="192" t="s">
        <v>985</v>
      </c>
      <c r="DF37" s="192" t="s">
        <v>416</v>
      </c>
      <c r="DG37" s="192">
        <v>1000</v>
      </c>
      <c r="DH37" s="192" t="s">
        <v>733</v>
      </c>
      <c r="DI37" s="192" t="s">
        <v>986</v>
      </c>
      <c r="DJ37" s="192" t="s">
        <v>97</v>
      </c>
      <c r="DK37" s="192">
        <v>1</v>
      </c>
      <c r="DL37" s="192" t="s">
        <v>466</v>
      </c>
      <c r="DM37" s="192" t="s">
        <v>987</v>
      </c>
      <c r="DN37" s="192" t="s">
        <v>489</v>
      </c>
      <c r="DO37" s="192">
        <v>10</v>
      </c>
      <c r="DP37" s="192" t="s">
        <v>488</v>
      </c>
      <c r="DQ37" s="192" t="s">
        <v>988</v>
      </c>
      <c r="DR37" s="192" t="s">
        <v>97</v>
      </c>
      <c r="DS37" s="192">
        <v>8</v>
      </c>
      <c r="DT37" s="192" t="s">
        <v>466</v>
      </c>
      <c r="DU37" s="192" t="s">
        <v>989</v>
      </c>
      <c r="DV37" s="192" t="s">
        <v>489</v>
      </c>
      <c r="DW37" s="192">
        <v>160</v>
      </c>
      <c r="DX37" s="192" t="s">
        <v>488</v>
      </c>
      <c r="DY37" s="192" t="s">
        <v>316</v>
      </c>
      <c r="DZ37" s="192" t="s">
        <v>316</v>
      </c>
      <c r="EA37" s="192" t="s">
        <v>316</v>
      </c>
      <c r="EB37" s="192" t="s">
        <v>316</v>
      </c>
      <c r="EC37" s="192" t="s">
        <v>29</v>
      </c>
      <c r="ED37" s="192" t="s">
        <v>29</v>
      </c>
      <c r="EE37" s="192" t="s">
        <v>29</v>
      </c>
      <c r="EF37" s="192" t="s">
        <v>29</v>
      </c>
      <c r="EG37" s="192" t="s">
        <v>29</v>
      </c>
      <c r="EH37" s="192" t="s">
        <v>29</v>
      </c>
      <c r="EI37" s="192" t="s">
        <v>29</v>
      </c>
      <c r="EJ37" s="192" t="s">
        <v>29</v>
      </c>
      <c r="EK37" s="192" t="s">
        <v>29</v>
      </c>
      <c r="EL37" s="192" t="s">
        <v>29</v>
      </c>
      <c r="EM37" s="192" t="s">
        <v>29</v>
      </c>
      <c r="EN37" s="192" t="s">
        <v>29</v>
      </c>
    </row>
    <row r="38" spans="1:146" ht="15">
      <c r="A38" s="187" t="str">
        <f t="shared" si="0"/>
        <v>MIZPP08146747362A</v>
      </c>
      <c r="B38" s="197" t="s">
        <v>525</v>
      </c>
      <c r="C38" s="198" t="s">
        <v>226</v>
      </c>
      <c r="D38" s="199" t="s">
        <v>1103</v>
      </c>
      <c r="E38" s="199">
        <v>46747362</v>
      </c>
      <c r="F38" s="199" t="s">
        <v>611</v>
      </c>
      <c r="G38" s="187"/>
      <c r="H38" s="198"/>
      <c r="I38" s="187"/>
      <c r="J38" s="187"/>
      <c r="K38" s="187"/>
      <c r="L38" s="200"/>
      <c r="M38" s="199" t="s">
        <v>611</v>
      </c>
      <c r="N38" s="198"/>
      <c r="O38" s="200"/>
      <c r="P38" s="198"/>
      <c r="Q38" s="199" t="s">
        <v>264</v>
      </c>
      <c r="R38" s="187"/>
      <c r="S38" s="198"/>
      <c r="T38" s="198"/>
      <c r="U38" s="187"/>
      <c r="V38" s="187"/>
      <c r="W38" s="187"/>
      <c r="X38" s="187"/>
      <c r="Y38" s="199" t="s">
        <v>570</v>
      </c>
      <c r="Z38" s="201">
        <v>300000</v>
      </c>
      <c r="AA38" s="201">
        <v>0</v>
      </c>
      <c r="AB38" s="193">
        <f t="shared" si="1"/>
        <v>300000</v>
      </c>
      <c r="AC38" s="201">
        <v>0</v>
      </c>
      <c r="AD38" s="201">
        <v>0</v>
      </c>
      <c r="AE38" s="193">
        <f t="shared" si="2"/>
        <v>0</v>
      </c>
      <c r="AF38" s="201">
        <v>0</v>
      </c>
      <c r="AG38" s="196"/>
      <c r="AH38" s="187"/>
      <c r="AI38" s="187"/>
      <c r="AJ38" s="187"/>
      <c r="AK38" s="193">
        <f t="shared" si="3"/>
        <v>0</v>
      </c>
      <c r="AL38" s="199" t="s">
        <v>29</v>
      </c>
      <c r="AM38" s="199" t="s">
        <v>29</v>
      </c>
      <c r="AN38" s="199" t="s">
        <v>29</v>
      </c>
      <c r="AO38" s="199" t="s">
        <v>29</v>
      </c>
      <c r="AP38" s="193"/>
      <c r="AQ38" s="201">
        <v>0</v>
      </c>
      <c r="AR38" s="201">
        <v>0</v>
      </c>
      <c r="AS38" s="201">
        <v>0</v>
      </c>
      <c r="AT38" s="201">
        <v>0</v>
      </c>
      <c r="AU38" s="201">
        <v>0</v>
      </c>
      <c r="AV38" s="201">
        <v>0</v>
      </c>
      <c r="AW38" s="201">
        <v>0</v>
      </c>
      <c r="AX38" s="201">
        <v>0</v>
      </c>
      <c r="AY38" s="199" t="s">
        <v>700</v>
      </c>
      <c r="AZ38" s="199">
        <v>0</v>
      </c>
      <c r="BA38" s="199" t="s">
        <v>701</v>
      </c>
      <c r="BB38" s="199">
        <v>0</v>
      </c>
      <c r="BC38" s="199" t="s">
        <v>29</v>
      </c>
      <c r="BD38" s="199" t="s">
        <v>29</v>
      </c>
      <c r="BE38" s="199" t="s">
        <v>29</v>
      </c>
      <c r="BF38" s="199" t="s">
        <v>29</v>
      </c>
      <c r="BG38" s="199" t="s">
        <v>29</v>
      </c>
      <c r="BH38" s="199" t="s">
        <v>29</v>
      </c>
      <c r="BI38" s="199" t="s">
        <v>29</v>
      </c>
      <c r="BJ38" s="199" t="s">
        <v>29</v>
      </c>
      <c r="BK38" s="199" t="s">
        <v>29</v>
      </c>
      <c r="BL38" s="199" t="s">
        <v>29</v>
      </c>
      <c r="BM38" s="199" t="s">
        <v>29</v>
      </c>
      <c r="BN38" s="199" t="s">
        <v>29</v>
      </c>
      <c r="BO38" s="199" t="s">
        <v>29</v>
      </c>
      <c r="BP38" s="199" t="s">
        <v>29</v>
      </c>
      <c r="BQ38" s="193"/>
      <c r="BR38" s="187">
        <v>0</v>
      </c>
      <c r="BS38" s="202">
        <v>300000</v>
      </c>
      <c r="BT38" s="199">
        <v>310904</v>
      </c>
      <c r="BU38" s="192" t="s">
        <v>99</v>
      </c>
      <c r="BV38" s="192" t="s">
        <v>97</v>
      </c>
      <c r="BW38" s="192">
        <v>20</v>
      </c>
      <c r="BX38" s="192" t="s">
        <v>466</v>
      </c>
      <c r="BY38" s="192" t="s">
        <v>135</v>
      </c>
      <c r="BZ38" s="192" t="s">
        <v>144</v>
      </c>
      <c r="CA38" s="192">
        <v>350</v>
      </c>
      <c r="CB38" s="192" t="s">
        <v>948</v>
      </c>
      <c r="CC38" s="192" t="s">
        <v>930</v>
      </c>
      <c r="CD38" s="192" t="s">
        <v>725</v>
      </c>
      <c r="CE38" s="192">
        <v>700</v>
      </c>
      <c r="CF38" s="192" t="s">
        <v>726</v>
      </c>
      <c r="CG38" s="192" t="s">
        <v>143</v>
      </c>
      <c r="CH38" s="192" t="s">
        <v>97</v>
      </c>
      <c r="CI38" s="192">
        <v>4</v>
      </c>
      <c r="CJ38" s="192" t="s">
        <v>466</v>
      </c>
      <c r="CK38" s="192" t="s">
        <v>990</v>
      </c>
      <c r="CL38" s="192" t="s">
        <v>489</v>
      </c>
      <c r="CM38" s="192">
        <v>60</v>
      </c>
      <c r="CN38" s="192" t="s">
        <v>488</v>
      </c>
      <c r="CO38" s="192" t="s">
        <v>991</v>
      </c>
      <c r="CP38" s="192" t="s">
        <v>97</v>
      </c>
      <c r="CQ38" s="192">
        <v>2</v>
      </c>
      <c r="CR38" s="192" t="s">
        <v>466</v>
      </c>
      <c r="CS38" s="192" t="s">
        <v>992</v>
      </c>
      <c r="CT38" s="192" t="s">
        <v>489</v>
      </c>
      <c r="CU38" s="192">
        <v>18</v>
      </c>
      <c r="CV38" s="192" t="s">
        <v>488</v>
      </c>
      <c r="CW38" s="192" t="s">
        <v>993</v>
      </c>
      <c r="CX38" s="192" t="s">
        <v>489</v>
      </c>
      <c r="CY38" s="192">
        <v>2</v>
      </c>
      <c r="CZ38" s="192" t="s">
        <v>466</v>
      </c>
      <c r="DA38" s="192" t="s">
        <v>994</v>
      </c>
      <c r="DB38" s="192" t="s">
        <v>489</v>
      </c>
      <c r="DC38" s="192">
        <v>20</v>
      </c>
      <c r="DD38" s="192" t="s">
        <v>488</v>
      </c>
      <c r="DE38" s="192" t="s">
        <v>316</v>
      </c>
      <c r="DF38" s="192" t="s">
        <v>316</v>
      </c>
      <c r="DG38" s="192" t="s">
        <v>316</v>
      </c>
      <c r="DH38" s="192" t="s">
        <v>316</v>
      </c>
      <c r="DI38" s="192" t="s">
        <v>316</v>
      </c>
      <c r="DJ38" s="192" t="s">
        <v>316</v>
      </c>
      <c r="DK38" s="192" t="s">
        <v>316</v>
      </c>
      <c r="DL38" s="192" t="s">
        <v>316</v>
      </c>
      <c r="DM38" s="192" t="s">
        <v>316</v>
      </c>
      <c r="DN38" s="192" t="s">
        <v>316</v>
      </c>
      <c r="DO38" s="192" t="s">
        <v>316</v>
      </c>
      <c r="DP38" s="192" t="s">
        <v>316</v>
      </c>
      <c r="DQ38" s="192" t="s">
        <v>316</v>
      </c>
      <c r="DR38" s="192" t="s">
        <v>316</v>
      </c>
      <c r="DS38" s="192" t="s">
        <v>316</v>
      </c>
      <c r="DT38" s="192" t="s">
        <v>316</v>
      </c>
      <c r="DU38" s="192" t="s">
        <v>316</v>
      </c>
      <c r="DV38" s="192" t="s">
        <v>316</v>
      </c>
      <c r="DW38" s="192" t="s">
        <v>316</v>
      </c>
      <c r="DX38" s="192" t="s">
        <v>316</v>
      </c>
      <c r="DY38" s="192" t="s">
        <v>316</v>
      </c>
      <c r="DZ38" s="192" t="s">
        <v>316</v>
      </c>
      <c r="EA38" s="192" t="s">
        <v>316</v>
      </c>
      <c r="EB38" s="192" t="s">
        <v>316</v>
      </c>
      <c r="EC38" s="192" t="s">
        <v>29</v>
      </c>
      <c r="ED38" s="192" t="s">
        <v>29</v>
      </c>
      <c r="EE38" s="192" t="s">
        <v>29</v>
      </c>
      <c r="EF38" s="192" t="s">
        <v>29</v>
      </c>
      <c r="EG38" s="192" t="s">
        <v>29</v>
      </c>
      <c r="EH38" s="192" t="s">
        <v>29</v>
      </c>
      <c r="EI38" s="192" t="s">
        <v>29</v>
      </c>
      <c r="EJ38" s="192" t="s">
        <v>29</v>
      </c>
      <c r="EK38" s="192" t="s">
        <v>29</v>
      </c>
      <c r="EL38" s="192" t="s">
        <v>29</v>
      </c>
      <c r="EM38" s="192" t="s">
        <v>29</v>
      </c>
      <c r="EN38" s="192" t="s">
        <v>29</v>
      </c>
      <c r="EO38" s="215"/>
      <c r="EP38" s="215"/>
    </row>
    <row r="39" spans="1:146" ht="15">
      <c r="A39" s="187" t="str">
        <f t="shared" si="0"/>
        <v>MIZPP08264244873A</v>
      </c>
      <c r="B39" s="197" t="s">
        <v>526</v>
      </c>
      <c r="C39" s="198" t="s">
        <v>226</v>
      </c>
      <c r="D39" s="199" t="s">
        <v>1104</v>
      </c>
      <c r="E39" s="199">
        <v>64244873</v>
      </c>
      <c r="F39" s="199" t="s">
        <v>612</v>
      </c>
      <c r="G39" s="187"/>
      <c r="H39" s="198"/>
      <c r="I39" s="187"/>
      <c r="J39" s="187"/>
      <c r="K39" s="187"/>
      <c r="L39" s="200"/>
      <c r="M39" s="199" t="s">
        <v>612</v>
      </c>
      <c r="N39" s="198"/>
      <c r="O39" s="200"/>
      <c r="P39" s="198"/>
      <c r="Q39" s="199" t="s">
        <v>632</v>
      </c>
      <c r="R39" s="187"/>
      <c r="S39" s="198"/>
      <c r="T39" s="198"/>
      <c r="U39" s="187"/>
      <c r="V39" s="187"/>
      <c r="W39" s="187"/>
      <c r="X39" s="187"/>
      <c r="Y39" s="199" t="s">
        <v>571</v>
      </c>
      <c r="Z39" s="201">
        <v>254325</v>
      </c>
      <c r="AA39" s="201">
        <v>0</v>
      </c>
      <c r="AB39" s="193">
        <f t="shared" si="1"/>
        <v>254325</v>
      </c>
      <c r="AC39" s="201">
        <v>0</v>
      </c>
      <c r="AD39" s="201">
        <v>0</v>
      </c>
      <c r="AE39" s="193">
        <f t="shared" si="2"/>
        <v>0</v>
      </c>
      <c r="AF39" s="201">
        <v>12000</v>
      </c>
      <c r="AG39" s="196"/>
      <c r="AH39" s="187"/>
      <c r="AI39" s="187"/>
      <c r="AJ39" s="187"/>
      <c r="AK39" s="193">
        <f t="shared" si="3"/>
        <v>12000</v>
      </c>
      <c r="AL39" s="199" t="s">
        <v>29</v>
      </c>
      <c r="AM39" s="199" t="s">
        <v>29</v>
      </c>
      <c r="AN39" s="199" t="s">
        <v>29</v>
      </c>
      <c r="AO39" s="199" t="s">
        <v>29</v>
      </c>
      <c r="AP39" s="193"/>
      <c r="AQ39" s="201">
        <v>6000</v>
      </c>
      <c r="AR39" s="201">
        <v>0</v>
      </c>
      <c r="AS39" s="201">
        <v>0</v>
      </c>
      <c r="AT39" s="201">
        <v>0</v>
      </c>
      <c r="AU39" s="201">
        <v>17280</v>
      </c>
      <c r="AV39" s="201">
        <v>0</v>
      </c>
      <c r="AW39" s="201">
        <v>0</v>
      </c>
      <c r="AX39" s="201">
        <v>0</v>
      </c>
      <c r="AY39" s="199" t="s">
        <v>642</v>
      </c>
      <c r="AZ39" s="199">
        <v>0</v>
      </c>
      <c r="BA39" s="199" t="s">
        <v>29</v>
      </c>
      <c r="BB39" s="199" t="s">
        <v>29</v>
      </c>
      <c r="BC39" s="199" t="s">
        <v>29</v>
      </c>
      <c r="BD39" s="199" t="s">
        <v>29</v>
      </c>
      <c r="BE39" s="199" t="s">
        <v>29</v>
      </c>
      <c r="BF39" s="199" t="s">
        <v>29</v>
      </c>
      <c r="BG39" s="199" t="s">
        <v>29</v>
      </c>
      <c r="BH39" s="199" t="s">
        <v>29</v>
      </c>
      <c r="BI39" s="199" t="s">
        <v>29</v>
      </c>
      <c r="BJ39" s="199" t="s">
        <v>29</v>
      </c>
      <c r="BK39" s="199" t="s">
        <v>29</v>
      </c>
      <c r="BL39" s="199" t="s">
        <v>29</v>
      </c>
      <c r="BM39" s="199" t="s">
        <v>29</v>
      </c>
      <c r="BN39" s="199" t="s">
        <v>29</v>
      </c>
      <c r="BO39" s="199" t="s">
        <v>29</v>
      </c>
      <c r="BP39" s="199" t="s">
        <v>29</v>
      </c>
      <c r="BQ39" s="193"/>
      <c r="BR39" s="187">
        <v>0</v>
      </c>
      <c r="BS39" s="202">
        <v>289605</v>
      </c>
      <c r="BT39" s="199">
        <v>195070</v>
      </c>
      <c r="BU39" s="192" t="s">
        <v>162</v>
      </c>
      <c r="BV39" s="192" t="s">
        <v>777</v>
      </c>
      <c r="BW39" s="192">
        <v>4</v>
      </c>
      <c r="BX39" s="192" t="s">
        <v>138</v>
      </c>
      <c r="BY39" s="192" t="s">
        <v>995</v>
      </c>
      <c r="BZ39" s="192" t="s">
        <v>489</v>
      </c>
      <c r="CA39" s="192">
        <v>100</v>
      </c>
      <c r="CB39" s="192" t="s">
        <v>418</v>
      </c>
      <c r="CC39" s="192" t="s">
        <v>453</v>
      </c>
      <c r="CD39" s="192" t="s">
        <v>97</v>
      </c>
      <c r="CE39" s="192">
        <v>1</v>
      </c>
      <c r="CF39" s="192" t="s">
        <v>466</v>
      </c>
      <c r="CG39" s="192" t="s">
        <v>996</v>
      </c>
      <c r="CH39" s="192" t="s">
        <v>489</v>
      </c>
      <c r="CI39" s="192">
        <v>500</v>
      </c>
      <c r="CJ39" s="192" t="s">
        <v>488</v>
      </c>
      <c r="CK39" s="192" t="s">
        <v>997</v>
      </c>
      <c r="CL39" s="192" t="s">
        <v>97</v>
      </c>
      <c r="CM39" s="192">
        <v>20</v>
      </c>
      <c r="CN39" s="192" t="s">
        <v>422</v>
      </c>
      <c r="CO39" s="192" t="s">
        <v>998</v>
      </c>
      <c r="CP39" s="192" t="s">
        <v>97</v>
      </c>
      <c r="CQ39" s="192">
        <v>2</v>
      </c>
      <c r="CR39" s="192" t="s">
        <v>137</v>
      </c>
      <c r="CS39" s="192" t="s">
        <v>999</v>
      </c>
      <c r="CT39" s="192" t="s">
        <v>416</v>
      </c>
      <c r="CU39" s="192">
        <v>1600</v>
      </c>
      <c r="CV39" s="192" t="s">
        <v>733</v>
      </c>
      <c r="CW39" s="192" t="s">
        <v>316</v>
      </c>
      <c r="CX39" s="192" t="s">
        <v>316</v>
      </c>
      <c r="CY39" s="192" t="s">
        <v>316</v>
      </c>
      <c r="CZ39" s="192" t="s">
        <v>316</v>
      </c>
      <c r="DA39" s="192" t="s">
        <v>316</v>
      </c>
      <c r="DB39" s="192" t="s">
        <v>316</v>
      </c>
      <c r="DC39" s="192" t="s">
        <v>316</v>
      </c>
      <c r="DD39" s="192" t="s">
        <v>316</v>
      </c>
      <c r="DE39" s="192" t="s">
        <v>316</v>
      </c>
      <c r="DF39" s="192" t="s">
        <v>316</v>
      </c>
      <c r="DG39" s="192" t="s">
        <v>316</v>
      </c>
      <c r="DH39" s="192" t="s">
        <v>316</v>
      </c>
      <c r="DI39" s="192" t="s">
        <v>316</v>
      </c>
      <c r="DJ39" s="192" t="s">
        <v>316</v>
      </c>
      <c r="DK39" s="192" t="s">
        <v>316</v>
      </c>
      <c r="DL39" s="192" t="s">
        <v>316</v>
      </c>
      <c r="DM39" s="192" t="s">
        <v>316</v>
      </c>
      <c r="DN39" s="192" t="s">
        <v>316</v>
      </c>
      <c r="DO39" s="192" t="s">
        <v>316</v>
      </c>
      <c r="DP39" s="192" t="s">
        <v>316</v>
      </c>
      <c r="DQ39" s="192" t="s">
        <v>316</v>
      </c>
      <c r="DR39" s="192" t="s">
        <v>316</v>
      </c>
      <c r="DS39" s="192" t="s">
        <v>316</v>
      </c>
      <c r="DT39" s="192" t="s">
        <v>316</v>
      </c>
      <c r="DU39" s="192" t="s">
        <v>316</v>
      </c>
      <c r="DV39" s="192" t="s">
        <v>316</v>
      </c>
      <c r="DW39" s="192" t="s">
        <v>316</v>
      </c>
      <c r="DX39" s="192" t="s">
        <v>316</v>
      </c>
      <c r="DY39" s="192" t="s">
        <v>316</v>
      </c>
      <c r="DZ39" s="192" t="s">
        <v>316</v>
      </c>
      <c r="EA39" s="192" t="s">
        <v>316</v>
      </c>
      <c r="EB39" s="192" t="s">
        <v>316</v>
      </c>
      <c r="EC39" s="192" t="s">
        <v>29</v>
      </c>
      <c r="ED39" s="192" t="s">
        <v>29</v>
      </c>
      <c r="EE39" s="192" t="s">
        <v>29</v>
      </c>
      <c r="EF39" s="192" t="s">
        <v>29</v>
      </c>
      <c r="EG39" s="192" t="s">
        <v>29</v>
      </c>
      <c r="EH39" s="192" t="s">
        <v>29</v>
      </c>
      <c r="EI39" s="192" t="s">
        <v>29</v>
      </c>
      <c r="EJ39" s="192" t="s">
        <v>29</v>
      </c>
      <c r="EK39" s="192" t="s">
        <v>29</v>
      </c>
      <c r="EL39" s="192" t="s">
        <v>29</v>
      </c>
      <c r="EM39" s="192" t="s">
        <v>29</v>
      </c>
      <c r="EN39" s="192" t="s">
        <v>29</v>
      </c>
      <c r="EO39" s="215"/>
      <c r="EP39" s="215"/>
    </row>
    <row r="40" spans="1:146" ht="15">
      <c r="A40" s="187" t="str">
        <f t="shared" si="0"/>
        <v>MIZPP08426415585A</v>
      </c>
      <c r="B40" s="197" t="s">
        <v>238</v>
      </c>
      <c r="C40" s="198" t="s">
        <v>226</v>
      </c>
      <c r="D40" s="199" t="s">
        <v>1105</v>
      </c>
      <c r="E40" s="199">
        <v>26415585</v>
      </c>
      <c r="F40" s="199" t="s">
        <v>613</v>
      </c>
      <c r="G40" s="187"/>
      <c r="H40" s="198"/>
      <c r="I40" s="187"/>
      <c r="J40" s="187"/>
      <c r="K40" s="187"/>
      <c r="L40" s="200"/>
      <c r="M40" s="199" t="s">
        <v>613</v>
      </c>
      <c r="N40" s="198"/>
      <c r="O40" s="200"/>
      <c r="P40" s="198"/>
      <c r="Q40" s="199" t="s">
        <v>633</v>
      </c>
      <c r="R40" s="187"/>
      <c r="S40" s="198"/>
      <c r="T40" s="198"/>
      <c r="U40" s="187"/>
      <c r="V40" s="187"/>
      <c r="W40" s="187"/>
      <c r="X40" s="187"/>
      <c r="Y40" s="199" t="s">
        <v>572</v>
      </c>
      <c r="Z40" s="201">
        <v>139823.6</v>
      </c>
      <c r="AA40" s="201">
        <v>36000</v>
      </c>
      <c r="AB40" s="193">
        <f t="shared" si="1"/>
        <v>175823.6</v>
      </c>
      <c r="AC40" s="201">
        <v>6000</v>
      </c>
      <c r="AD40" s="201">
        <v>0</v>
      </c>
      <c r="AE40" s="193">
        <f t="shared" si="2"/>
        <v>6000</v>
      </c>
      <c r="AF40" s="201">
        <v>1000</v>
      </c>
      <c r="AG40" s="196"/>
      <c r="AH40" s="187"/>
      <c r="AI40" s="187"/>
      <c r="AJ40" s="187"/>
      <c r="AK40" s="193">
        <f t="shared" si="3"/>
        <v>1000</v>
      </c>
      <c r="AL40" s="199" t="s">
        <v>29</v>
      </c>
      <c r="AM40" s="199" t="s">
        <v>29</v>
      </c>
      <c r="AN40" s="199" t="s">
        <v>29</v>
      </c>
      <c r="AO40" s="199" t="s">
        <v>29</v>
      </c>
      <c r="AP40" s="193"/>
      <c r="AQ40" s="201">
        <v>6000</v>
      </c>
      <c r="AR40" s="201">
        <v>24000</v>
      </c>
      <c r="AS40" s="201">
        <v>3000</v>
      </c>
      <c r="AT40" s="201">
        <v>14000</v>
      </c>
      <c r="AU40" s="201">
        <v>0</v>
      </c>
      <c r="AV40" s="201">
        <v>0</v>
      </c>
      <c r="AW40" s="201">
        <v>0</v>
      </c>
      <c r="AX40" s="201">
        <v>0</v>
      </c>
      <c r="AY40" s="199" t="s">
        <v>702</v>
      </c>
      <c r="AZ40" s="199">
        <v>41000</v>
      </c>
      <c r="BA40" s="199" t="s">
        <v>703</v>
      </c>
      <c r="BB40" s="199">
        <v>4000</v>
      </c>
      <c r="BC40" s="199" t="s">
        <v>704</v>
      </c>
      <c r="BD40" s="199">
        <v>4000</v>
      </c>
      <c r="BE40" s="199" t="s">
        <v>29</v>
      </c>
      <c r="BF40" s="199" t="s">
        <v>29</v>
      </c>
      <c r="BG40" s="199" t="s">
        <v>29</v>
      </c>
      <c r="BH40" s="199" t="s">
        <v>29</v>
      </c>
      <c r="BI40" s="199" t="s">
        <v>29</v>
      </c>
      <c r="BJ40" s="199" t="s">
        <v>29</v>
      </c>
      <c r="BK40" s="199" t="s">
        <v>29</v>
      </c>
      <c r="BL40" s="199" t="s">
        <v>29</v>
      </c>
      <c r="BM40" s="199" t="s">
        <v>29</v>
      </c>
      <c r="BN40" s="199" t="s">
        <v>29</v>
      </c>
      <c r="BO40" s="199" t="s">
        <v>29</v>
      </c>
      <c r="BP40" s="199" t="s">
        <v>29</v>
      </c>
      <c r="BQ40" s="193"/>
      <c r="BR40" s="187">
        <v>21000</v>
      </c>
      <c r="BS40" s="202">
        <v>299823.59999999998</v>
      </c>
      <c r="BT40" s="199">
        <v>144924.40000000002</v>
      </c>
      <c r="BU40" s="192" t="s">
        <v>1000</v>
      </c>
      <c r="BV40" s="192" t="s">
        <v>97</v>
      </c>
      <c r="BW40" s="192">
        <v>1</v>
      </c>
      <c r="BX40" s="192" t="s">
        <v>133</v>
      </c>
      <c r="BY40" s="192" t="s">
        <v>1001</v>
      </c>
      <c r="BZ40" s="192" t="s">
        <v>97</v>
      </c>
      <c r="CA40" s="192">
        <v>2</v>
      </c>
      <c r="CB40" s="192" t="s">
        <v>466</v>
      </c>
      <c r="CC40" s="192" t="s">
        <v>1001</v>
      </c>
      <c r="CD40" s="192" t="s">
        <v>489</v>
      </c>
      <c r="CE40" s="192">
        <v>50</v>
      </c>
      <c r="CF40" s="192" t="s">
        <v>488</v>
      </c>
      <c r="CG40" s="192" t="s">
        <v>101</v>
      </c>
      <c r="CH40" s="192" t="s">
        <v>97</v>
      </c>
      <c r="CI40" s="192">
        <v>6</v>
      </c>
      <c r="CJ40" s="192" t="s">
        <v>134</v>
      </c>
      <c r="CK40" s="192" t="s">
        <v>812</v>
      </c>
      <c r="CL40" s="192" t="s">
        <v>729</v>
      </c>
      <c r="CM40" s="192">
        <v>500</v>
      </c>
      <c r="CN40" s="192" t="s">
        <v>730</v>
      </c>
      <c r="CO40" s="192" t="s">
        <v>1002</v>
      </c>
      <c r="CP40" s="192" t="s">
        <v>735</v>
      </c>
      <c r="CQ40" s="192">
        <v>5</v>
      </c>
      <c r="CR40" s="192" t="s">
        <v>423</v>
      </c>
      <c r="CS40" s="192" t="s">
        <v>1003</v>
      </c>
      <c r="CT40" s="192" t="s">
        <v>97</v>
      </c>
      <c r="CU40" s="192">
        <v>1</v>
      </c>
      <c r="CV40" s="192" t="s">
        <v>137</v>
      </c>
      <c r="CW40" s="192" t="s">
        <v>1004</v>
      </c>
      <c r="CX40" s="192" t="s">
        <v>416</v>
      </c>
      <c r="CY40" s="192">
        <v>50</v>
      </c>
      <c r="CZ40" s="192" t="s">
        <v>733</v>
      </c>
      <c r="DA40" s="192" t="s">
        <v>316</v>
      </c>
      <c r="DB40" s="192" t="s">
        <v>316</v>
      </c>
      <c r="DC40" s="192" t="s">
        <v>316</v>
      </c>
      <c r="DD40" s="192" t="s">
        <v>316</v>
      </c>
      <c r="DE40" s="192" t="s">
        <v>316</v>
      </c>
      <c r="DF40" s="192" t="s">
        <v>316</v>
      </c>
      <c r="DG40" s="192" t="s">
        <v>316</v>
      </c>
      <c r="DH40" s="192" t="s">
        <v>316</v>
      </c>
      <c r="DI40" s="192" t="s">
        <v>316</v>
      </c>
      <c r="DJ40" s="192" t="s">
        <v>316</v>
      </c>
      <c r="DK40" s="192" t="s">
        <v>316</v>
      </c>
      <c r="DL40" s="192" t="s">
        <v>316</v>
      </c>
      <c r="DM40" s="192" t="s">
        <v>316</v>
      </c>
      <c r="DN40" s="192" t="s">
        <v>316</v>
      </c>
      <c r="DO40" s="192" t="s">
        <v>316</v>
      </c>
      <c r="DP40" s="192" t="s">
        <v>316</v>
      </c>
      <c r="DQ40" s="192" t="s">
        <v>316</v>
      </c>
      <c r="DR40" s="192" t="s">
        <v>316</v>
      </c>
      <c r="DS40" s="192" t="s">
        <v>316</v>
      </c>
      <c r="DT40" s="192" t="s">
        <v>316</v>
      </c>
      <c r="DU40" s="192" t="s">
        <v>316</v>
      </c>
      <c r="DV40" s="192" t="s">
        <v>316</v>
      </c>
      <c r="DW40" s="192" t="s">
        <v>316</v>
      </c>
      <c r="DX40" s="192" t="s">
        <v>316</v>
      </c>
      <c r="DY40" s="192" t="s">
        <v>316</v>
      </c>
      <c r="DZ40" s="192" t="s">
        <v>316</v>
      </c>
      <c r="EA40" s="192" t="s">
        <v>316</v>
      </c>
      <c r="EB40" s="192" t="s">
        <v>316</v>
      </c>
      <c r="EC40" s="192" t="s">
        <v>29</v>
      </c>
      <c r="ED40" s="192" t="s">
        <v>29</v>
      </c>
      <c r="EE40" s="192" t="s">
        <v>29</v>
      </c>
      <c r="EF40" s="192" t="s">
        <v>29</v>
      </c>
      <c r="EG40" s="192" t="s">
        <v>29</v>
      </c>
      <c r="EH40" s="192" t="s">
        <v>29</v>
      </c>
      <c r="EI40" s="192" t="s">
        <v>29</v>
      </c>
      <c r="EJ40" s="192" t="s">
        <v>29</v>
      </c>
      <c r="EK40" s="192" t="s">
        <v>29</v>
      </c>
      <c r="EL40" s="192" t="s">
        <v>29</v>
      </c>
      <c r="EM40" s="192" t="s">
        <v>29</v>
      </c>
      <c r="EN40" s="192" t="s">
        <v>29</v>
      </c>
    </row>
    <row r="41" spans="1:146" ht="15">
      <c r="A41" s="187" t="str">
        <f t="shared" si="0"/>
        <v>MIZPP08914888009A</v>
      </c>
      <c r="B41" s="197" t="s">
        <v>239</v>
      </c>
      <c r="C41" s="198" t="s">
        <v>226</v>
      </c>
      <c r="D41" s="199" t="s">
        <v>1106</v>
      </c>
      <c r="E41" s="199">
        <v>14888009</v>
      </c>
      <c r="F41" s="199" t="s">
        <v>614</v>
      </c>
      <c r="G41" s="187"/>
      <c r="H41" s="198"/>
      <c r="I41" s="187"/>
      <c r="J41" s="187"/>
      <c r="K41" s="187"/>
      <c r="L41" s="200"/>
      <c r="M41" s="199" t="s">
        <v>614</v>
      </c>
      <c r="N41" s="198"/>
      <c r="O41" s="200"/>
      <c r="P41" s="198"/>
      <c r="Q41" s="199" t="s">
        <v>276</v>
      </c>
      <c r="R41" s="187"/>
      <c r="S41" s="198"/>
      <c r="T41" s="198"/>
      <c r="U41" s="187"/>
      <c r="V41" s="187"/>
      <c r="W41" s="187"/>
      <c r="X41" s="187"/>
      <c r="Y41" s="199" t="s">
        <v>573</v>
      </c>
      <c r="Z41" s="201">
        <v>160000</v>
      </c>
      <c r="AA41" s="201">
        <v>0</v>
      </c>
      <c r="AB41" s="193">
        <f t="shared" si="1"/>
        <v>160000</v>
      </c>
      <c r="AC41" s="201">
        <v>0</v>
      </c>
      <c r="AD41" s="201">
        <v>0</v>
      </c>
      <c r="AE41" s="193">
        <f t="shared" si="2"/>
        <v>0</v>
      </c>
      <c r="AF41" s="201">
        <v>0</v>
      </c>
      <c r="AG41" s="196"/>
      <c r="AH41" s="187"/>
      <c r="AI41" s="187"/>
      <c r="AJ41" s="187"/>
      <c r="AK41" s="193">
        <f t="shared" si="3"/>
        <v>0</v>
      </c>
      <c r="AL41" s="199" t="s">
        <v>29</v>
      </c>
      <c r="AM41" s="199" t="s">
        <v>29</v>
      </c>
      <c r="AN41" s="199" t="s">
        <v>29</v>
      </c>
      <c r="AO41" s="199" t="s">
        <v>29</v>
      </c>
      <c r="AP41" s="193"/>
      <c r="AQ41" s="201">
        <v>0</v>
      </c>
      <c r="AR41" s="201">
        <v>0</v>
      </c>
      <c r="AS41" s="201">
        <v>0</v>
      </c>
      <c r="AT41" s="201">
        <v>0</v>
      </c>
      <c r="AU41" s="201">
        <v>0</v>
      </c>
      <c r="AV41" s="201">
        <v>0</v>
      </c>
      <c r="AW41" s="201">
        <v>0</v>
      </c>
      <c r="AX41" s="201">
        <v>0</v>
      </c>
      <c r="AY41" s="199" t="s">
        <v>705</v>
      </c>
      <c r="AZ41" s="199">
        <v>140000</v>
      </c>
      <c r="BA41" s="199" t="s">
        <v>29</v>
      </c>
      <c r="BB41" s="199" t="s">
        <v>29</v>
      </c>
      <c r="BC41" s="199" t="s">
        <v>29</v>
      </c>
      <c r="BD41" s="199" t="s">
        <v>29</v>
      </c>
      <c r="BE41" s="199" t="s">
        <v>29</v>
      </c>
      <c r="BF41" s="199" t="s">
        <v>29</v>
      </c>
      <c r="BG41" s="199" t="s">
        <v>29</v>
      </c>
      <c r="BH41" s="199" t="s">
        <v>29</v>
      </c>
      <c r="BI41" s="199" t="s">
        <v>29</v>
      </c>
      <c r="BJ41" s="199" t="s">
        <v>29</v>
      </c>
      <c r="BK41" s="199" t="s">
        <v>29</v>
      </c>
      <c r="BL41" s="199" t="s">
        <v>29</v>
      </c>
      <c r="BM41" s="199" t="s">
        <v>29</v>
      </c>
      <c r="BN41" s="199" t="s">
        <v>29</v>
      </c>
      <c r="BO41" s="199" t="s">
        <v>29</v>
      </c>
      <c r="BP41" s="199" t="s">
        <v>29</v>
      </c>
      <c r="BQ41" s="193"/>
      <c r="BR41" s="187">
        <v>0</v>
      </c>
      <c r="BS41" s="202">
        <v>300000</v>
      </c>
      <c r="BT41" s="199">
        <v>139000</v>
      </c>
      <c r="BU41" s="192" t="s">
        <v>134</v>
      </c>
      <c r="BV41" s="192" t="s">
        <v>97</v>
      </c>
      <c r="BW41" s="192">
        <v>45</v>
      </c>
      <c r="BX41" s="192" t="s">
        <v>134</v>
      </c>
      <c r="BY41" s="192" t="s">
        <v>730</v>
      </c>
      <c r="BZ41" s="192" t="s">
        <v>749</v>
      </c>
      <c r="CA41" s="192">
        <v>4000</v>
      </c>
      <c r="CB41" s="192" t="s">
        <v>730</v>
      </c>
      <c r="CC41" s="192" t="s">
        <v>1005</v>
      </c>
      <c r="CD41" s="192" t="s">
        <v>97</v>
      </c>
      <c r="CE41" s="192">
        <v>8</v>
      </c>
      <c r="CF41" s="192" t="s">
        <v>137</v>
      </c>
      <c r="CG41" s="192" t="s">
        <v>436</v>
      </c>
      <c r="CH41" s="192" t="s">
        <v>416</v>
      </c>
      <c r="CI41" s="192">
        <v>80</v>
      </c>
      <c r="CJ41" s="192" t="s">
        <v>733</v>
      </c>
      <c r="CK41" s="192" t="s">
        <v>1006</v>
      </c>
      <c r="CL41" s="192" t="s">
        <v>97</v>
      </c>
      <c r="CM41" s="192">
        <v>8</v>
      </c>
      <c r="CN41" s="192" t="s">
        <v>137</v>
      </c>
      <c r="CO41" s="192" t="s">
        <v>1007</v>
      </c>
      <c r="CP41" s="192" t="s">
        <v>416</v>
      </c>
      <c r="CQ41" s="192">
        <v>100</v>
      </c>
      <c r="CR41" s="192" t="s">
        <v>733</v>
      </c>
      <c r="CS41" s="192" t="s">
        <v>316</v>
      </c>
      <c r="CT41" s="192" t="s">
        <v>316</v>
      </c>
      <c r="CU41" s="192" t="s">
        <v>316</v>
      </c>
      <c r="CV41" s="192" t="s">
        <v>316</v>
      </c>
      <c r="CW41" s="192" t="s">
        <v>316</v>
      </c>
      <c r="CX41" s="192" t="s">
        <v>316</v>
      </c>
      <c r="CY41" s="192" t="s">
        <v>316</v>
      </c>
      <c r="CZ41" s="192" t="s">
        <v>316</v>
      </c>
      <c r="DA41" s="192" t="s">
        <v>316</v>
      </c>
      <c r="DB41" s="192" t="s">
        <v>316</v>
      </c>
      <c r="DC41" s="192" t="s">
        <v>316</v>
      </c>
      <c r="DD41" s="192" t="s">
        <v>316</v>
      </c>
      <c r="DE41" s="192" t="s">
        <v>316</v>
      </c>
      <c r="DF41" s="192" t="s">
        <v>316</v>
      </c>
      <c r="DG41" s="192" t="s">
        <v>316</v>
      </c>
      <c r="DH41" s="192" t="s">
        <v>316</v>
      </c>
      <c r="DI41" s="192" t="s">
        <v>316</v>
      </c>
      <c r="DJ41" s="192" t="s">
        <v>316</v>
      </c>
      <c r="DK41" s="192" t="s">
        <v>316</v>
      </c>
      <c r="DL41" s="192" t="s">
        <v>316</v>
      </c>
      <c r="DM41" s="192" t="s">
        <v>316</v>
      </c>
      <c r="DN41" s="192" t="s">
        <v>316</v>
      </c>
      <c r="DO41" s="192" t="s">
        <v>316</v>
      </c>
      <c r="DP41" s="192" t="s">
        <v>316</v>
      </c>
      <c r="DQ41" s="192" t="s">
        <v>316</v>
      </c>
      <c r="DR41" s="192" t="s">
        <v>316</v>
      </c>
      <c r="DS41" s="192" t="s">
        <v>316</v>
      </c>
      <c r="DT41" s="192" t="s">
        <v>316</v>
      </c>
      <c r="DU41" s="192" t="s">
        <v>316</v>
      </c>
      <c r="DV41" s="192" t="s">
        <v>316</v>
      </c>
      <c r="DW41" s="192" t="s">
        <v>316</v>
      </c>
      <c r="DX41" s="192" t="s">
        <v>316</v>
      </c>
      <c r="DY41" s="192" t="s">
        <v>316</v>
      </c>
      <c r="DZ41" s="192" t="s">
        <v>316</v>
      </c>
      <c r="EA41" s="192" t="s">
        <v>316</v>
      </c>
      <c r="EB41" s="192" t="s">
        <v>316</v>
      </c>
      <c r="EC41" s="192" t="s">
        <v>29</v>
      </c>
      <c r="ED41" s="192" t="s">
        <v>29</v>
      </c>
      <c r="EE41" s="192" t="s">
        <v>29</v>
      </c>
      <c r="EF41" s="192" t="s">
        <v>29</v>
      </c>
      <c r="EG41" s="192" t="s">
        <v>29</v>
      </c>
      <c r="EH41" s="192" t="s">
        <v>29</v>
      </c>
      <c r="EI41" s="192" t="s">
        <v>29</v>
      </c>
      <c r="EJ41" s="192" t="s">
        <v>29</v>
      </c>
      <c r="EK41" s="192" t="s">
        <v>29</v>
      </c>
      <c r="EL41" s="192" t="s">
        <v>29</v>
      </c>
      <c r="EM41" s="192" t="s">
        <v>29</v>
      </c>
      <c r="EN41" s="192" t="s">
        <v>29</v>
      </c>
    </row>
    <row r="42" spans="1:146" ht="15">
      <c r="A42" s="187" t="str">
        <f t="shared" si="0"/>
        <v>MIZPP09164244873A</v>
      </c>
      <c r="B42" s="197" t="s">
        <v>527</v>
      </c>
      <c r="C42" s="198" t="s">
        <v>226</v>
      </c>
      <c r="D42" s="199" t="s">
        <v>1104</v>
      </c>
      <c r="E42" s="199">
        <v>64244873</v>
      </c>
      <c r="F42" s="199" t="s">
        <v>612</v>
      </c>
      <c r="G42" s="187"/>
      <c r="H42" s="198"/>
      <c r="I42" s="187"/>
      <c r="J42" s="187"/>
      <c r="K42" s="187"/>
      <c r="L42" s="200"/>
      <c r="M42" s="199" t="s">
        <v>612</v>
      </c>
      <c r="N42" s="198"/>
      <c r="O42" s="200"/>
      <c r="P42" s="198"/>
      <c r="Q42" s="199" t="s">
        <v>632</v>
      </c>
      <c r="R42" s="187"/>
      <c r="S42" s="198"/>
      <c r="T42" s="198"/>
      <c r="U42" s="187"/>
      <c r="V42" s="187"/>
      <c r="W42" s="187"/>
      <c r="X42" s="187"/>
      <c r="Y42" s="199" t="s">
        <v>574</v>
      </c>
      <c r="Z42" s="201">
        <v>212901</v>
      </c>
      <c r="AA42" s="201">
        <v>0</v>
      </c>
      <c r="AB42" s="193">
        <f t="shared" si="1"/>
        <v>212901</v>
      </c>
      <c r="AC42" s="201">
        <v>0</v>
      </c>
      <c r="AD42" s="201">
        <v>0</v>
      </c>
      <c r="AE42" s="193">
        <f t="shared" si="2"/>
        <v>0</v>
      </c>
      <c r="AF42" s="201">
        <v>0</v>
      </c>
      <c r="AG42" s="196"/>
      <c r="AH42" s="187"/>
      <c r="AI42" s="187"/>
      <c r="AJ42" s="187"/>
      <c r="AK42" s="193">
        <f t="shared" si="3"/>
        <v>0</v>
      </c>
      <c r="AL42" s="199" t="s">
        <v>29</v>
      </c>
      <c r="AM42" s="199" t="s">
        <v>29</v>
      </c>
      <c r="AN42" s="199" t="s">
        <v>29</v>
      </c>
      <c r="AO42" s="199" t="s">
        <v>29</v>
      </c>
      <c r="AP42" s="193"/>
      <c r="AQ42" s="201">
        <v>6000</v>
      </c>
      <c r="AR42" s="201">
        <v>0</v>
      </c>
      <c r="AS42" s="201">
        <v>0</v>
      </c>
      <c r="AT42" s="201">
        <v>0</v>
      </c>
      <c r="AU42" s="201">
        <v>27100</v>
      </c>
      <c r="AV42" s="201">
        <v>0</v>
      </c>
      <c r="AW42" s="201">
        <v>0</v>
      </c>
      <c r="AX42" s="201">
        <v>0</v>
      </c>
      <c r="AY42" s="199" t="s">
        <v>642</v>
      </c>
      <c r="AZ42" s="199">
        <v>0</v>
      </c>
      <c r="BA42" s="199" t="s">
        <v>29</v>
      </c>
      <c r="BB42" s="199" t="s">
        <v>29</v>
      </c>
      <c r="BC42" s="199" t="s">
        <v>29</v>
      </c>
      <c r="BD42" s="199" t="s">
        <v>29</v>
      </c>
      <c r="BE42" s="199" t="s">
        <v>29</v>
      </c>
      <c r="BF42" s="199" t="s">
        <v>29</v>
      </c>
      <c r="BG42" s="199" t="s">
        <v>29</v>
      </c>
      <c r="BH42" s="199" t="s">
        <v>29</v>
      </c>
      <c r="BI42" s="199" t="s">
        <v>29</v>
      </c>
      <c r="BJ42" s="199" t="s">
        <v>29</v>
      </c>
      <c r="BK42" s="199" t="s">
        <v>29</v>
      </c>
      <c r="BL42" s="199" t="s">
        <v>29</v>
      </c>
      <c r="BM42" s="199" t="s">
        <v>29</v>
      </c>
      <c r="BN42" s="199" t="s">
        <v>29</v>
      </c>
      <c r="BO42" s="199" t="s">
        <v>29</v>
      </c>
      <c r="BP42" s="199" t="s">
        <v>29</v>
      </c>
      <c r="BQ42" s="193"/>
      <c r="BR42" s="187">
        <v>0</v>
      </c>
      <c r="BS42" s="202">
        <v>246001</v>
      </c>
      <c r="BT42" s="199">
        <v>165834</v>
      </c>
      <c r="BU42" s="192" t="s">
        <v>137</v>
      </c>
      <c r="BV42" s="192" t="s">
        <v>97</v>
      </c>
      <c r="BW42" s="192">
        <v>4</v>
      </c>
      <c r="BX42" s="192" t="s">
        <v>137</v>
      </c>
      <c r="BY42" s="192" t="s">
        <v>1008</v>
      </c>
      <c r="BZ42" s="192" t="s">
        <v>416</v>
      </c>
      <c r="CA42" s="192">
        <v>1000</v>
      </c>
      <c r="CB42" s="192" t="s">
        <v>733</v>
      </c>
      <c r="CC42" s="192" t="s">
        <v>1009</v>
      </c>
      <c r="CD42" s="192" t="s">
        <v>416</v>
      </c>
      <c r="CE42" s="192">
        <v>1000</v>
      </c>
      <c r="CF42" s="192" t="s">
        <v>733</v>
      </c>
      <c r="CG42" s="192" t="s">
        <v>163</v>
      </c>
      <c r="CH42" s="192" t="s">
        <v>416</v>
      </c>
      <c r="CI42" s="192">
        <v>2000</v>
      </c>
      <c r="CJ42" s="192" t="s">
        <v>733</v>
      </c>
      <c r="CK42" s="192" t="s">
        <v>161</v>
      </c>
      <c r="CL42" s="192" t="s">
        <v>97</v>
      </c>
      <c r="CM42" s="192">
        <v>6</v>
      </c>
      <c r="CN42" s="192" t="s">
        <v>466</v>
      </c>
      <c r="CO42" s="192" t="s">
        <v>1010</v>
      </c>
      <c r="CP42" s="192" t="s">
        <v>489</v>
      </c>
      <c r="CQ42" s="192">
        <v>300</v>
      </c>
      <c r="CR42" s="192" t="s">
        <v>488</v>
      </c>
      <c r="CS42" s="192" t="s">
        <v>1011</v>
      </c>
      <c r="CT42" s="192" t="s">
        <v>97</v>
      </c>
      <c r="CU42" s="192">
        <v>10</v>
      </c>
      <c r="CV42" s="192" t="s">
        <v>466</v>
      </c>
      <c r="CW42" s="192" t="s">
        <v>1012</v>
      </c>
      <c r="CX42" s="192" t="s">
        <v>489</v>
      </c>
      <c r="CY42" s="192">
        <v>1000</v>
      </c>
      <c r="CZ42" s="192" t="s">
        <v>488</v>
      </c>
      <c r="DA42" s="192" t="s">
        <v>316</v>
      </c>
      <c r="DB42" s="192" t="s">
        <v>316</v>
      </c>
      <c r="DC42" s="192" t="s">
        <v>316</v>
      </c>
      <c r="DD42" s="192" t="s">
        <v>316</v>
      </c>
      <c r="DE42" s="192" t="s">
        <v>316</v>
      </c>
      <c r="DF42" s="192" t="s">
        <v>316</v>
      </c>
      <c r="DG42" s="192" t="s">
        <v>316</v>
      </c>
      <c r="DH42" s="192" t="s">
        <v>316</v>
      </c>
      <c r="DI42" s="192" t="s">
        <v>316</v>
      </c>
      <c r="DJ42" s="192" t="s">
        <v>316</v>
      </c>
      <c r="DK42" s="192" t="s">
        <v>316</v>
      </c>
      <c r="DL42" s="192" t="s">
        <v>316</v>
      </c>
      <c r="DM42" s="192" t="s">
        <v>316</v>
      </c>
      <c r="DN42" s="192" t="s">
        <v>316</v>
      </c>
      <c r="DO42" s="192" t="s">
        <v>316</v>
      </c>
      <c r="DP42" s="192" t="s">
        <v>316</v>
      </c>
      <c r="DQ42" s="192" t="s">
        <v>316</v>
      </c>
      <c r="DR42" s="192" t="s">
        <v>316</v>
      </c>
      <c r="DS42" s="192" t="s">
        <v>316</v>
      </c>
      <c r="DT42" s="192" t="s">
        <v>316</v>
      </c>
      <c r="DU42" s="192" t="s">
        <v>316</v>
      </c>
      <c r="DV42" s="192" t="s">
        <v>316</v>
      </c>
      <c r="DW42" s="192" t="s">
        <v>316</v>
      </c>
      <c r="DX42" s="192" t="s">
        <v>316</v>
      </c>
      <c r="DY42" s="192" t="s">
        <v>316</v>
      </c>
      <c r="DZ42" s="192" t="s">
        <v>316</v>
      </c>
      <c r="EA42" s="192" t="s">
        <v>316</v>
      </c>
      <c r="EB42" s="192" t="s">
        <v>316</v>
      </c>
      <c r="EC42" s="192" t="s">
        <v>29</v>
      </c>
      <c r="ED42" s="192" t="s">
        <v>29</v>
      </c>
      <c r="EE42" s="192" t="s">
        <v>29</v>
      </c>
      <c r="EF42" s="192" t="s">
        <v>29</v>
      </c>
      <c r="EG42" s="192" t="s">
        <v>29</v>
      </c>
      <c r="EH42" s="192" t="s">
        <v>29</v>
      </c>
      <c r="EI42" s="192" t="s">
        <v>29</v>
      </c>
      <c r="EJ42" s="192" t="s">
        <v>29</v>
      </c>
      <c r="EK42" s="192" t="s">
        <v>29</v>
      </c>
      <c r="EL42" s="192" t="s">
        <v>29</v>
      </c>
      <c r="EM42" s="192" t="s">
        <v>29</v>
      </c>
      <c r="EN42" s="192" t="s">
        <v>29</v>
      </c>
    </row>
    <row r="43" spans="1:146" ht="15">
      <c r="A43" s="187" t="str">
        <f t="shared" si="0"/>
        <v>MIZPP09202586894A</v>
      </c>
      <c r="B43" s="197" t="s">
        <v>528</v>
      </c>
      <c r="C43" s="198" t="s">
        <v>226</v>
      </c>
      <c r="D43" s="199" t="s">
        <v>1107</v>
      </c>
      <c r="E43" s="199" t="s">
        <v>250</v>
      </c>
      <c r="F43" s="199" t="s">
        <v>615</v>
      </c>
      <c r="G43" s="187"/>
      <c r="H43" s="198"/>
      <c r="I43" s="187"/>
      <c r="J43" s="187"/>
      <c r="K43" s="187"/>
      <c r="L43" s="200"/>
      <c r="M43" s="199" t="s">
        <v>615</v>
      </c>
      <c r="N43" s="198"/>
      <c r="O43" s="200"/>
      <c r="P43" s="198"/>
      <c r="Q43" s="199" t="s">
        <v>269</v>
      </c>
      <c r="R43" s="187"/>
      <c r="S43" s="198"/>
      <c r="T43" s="198"/>
      <c r="U43" s="187"/>
      <c r="V43" s="187"/>
      <c r="W43" s="187"/>
      <c r="X43" s="187"/>
      <c r="Y43" s="199" t="s">
        <v>575</v>
      </c>
      <c r="Z43" s="201">
        <v>300000</v>
      </c>
      <c r="AA43" s="201">
        <v>0</v>
      </c>
      <c r="AB43" s="193">
        <f t="shared" si="1"/>
        <v>300000</v>
      </c>
      <c r="AC43" s="201">
        <v>0</v>
      </c>
      <c r="AD43" s="201">
        <v>0</v>
      </c>
      <c r="AE43" s="193">
        <f t="shared" si="2"/>
        <v>0</v>
      </c>
      <c r="AF43" s="201">
        <v>0</v>
      </c>
      <c r="AG43" s="196"/>
      <c r="AH43" s="187"/>
      <c r="AI43" s="187"/>
      <c r="AJ43" s="187"/>
      <c r="AK43" s="193">
        <f t="shared" si="3"/>
        <v>0</v>
      </c>
      <c r="AL43" s="199" t="s">
        <v>29</v>
      </c>
      <c r="AM43" s="199" t="s">
        <v>29</v>
      </c>
      <c r="AN43" s="199" t="s">
        <v>29</v>
      </c>
      <c r="AO43" s="199" t="s">
        <v>29</v>
      </c>
      <c r="AP43" s="193"/>
      <c r="AQ43" s="201">
        <v>0</v>
      </c>
      <c r="AR43" s="201">
        <v>0</v>
      </c>
      <c r="AS43" s="201">
        <v>0</v>
      </c>
      <c r="AT43" s="201">
        <v>0</v>
      </c>
      <c r="AU43" s="201">
        <v>0</v>
      </c>
      <c r="AV43" s="201">
        <v>0</v>
      </c>
      <c r="AW43" s="201">
        <v>0</v>
      </c>
      <c r="AX43" s="201">
        <v>0</v>
      </c>
      <c r="AY43" s="199" t="s">
        <v>637</v>
      </c>
      <c r="AZ43" s="199">
        <v>0</v>
      </c>
      <c r="BA43" s="199" t="s">
        <v>29</v>
      </c>
      <c r="BB43" s="199" t="s">
        <v>29</v>
      </c>
      <c r="BC43" s="199" t="s">
        <v>29</v>
      </c>
      <c r="BD43" s="199" t="s">
        <v>29</v>
      </c>
      <c r="BE43" s="199" t="s">
        <v>29</v>
      </c>
      <c r="BF43" s="199" t="s">
        <v>29</v>
      </c>
      <c r="BG43" s="199" t="s">
        <v>29</v>
      </c>
      <c r="BH43" s="199" t="s">
        <v>29</v>
      </c>
      <c r="BI43" s="199" t="s">
        <v>29</v>
      </c>
      <c r="BJ43" s="199" t="s">
        <v>29</v>
      </c>
      <c r="BK43" s="199" t="s">
        <v>29</v>
      </c>
      <c r="BL43" s="199" t="s">
        <v>29</v>
      </c>
      <c r="BM43" s="199" t="s">
        <v>29</v>
      </c>
      <c r="BN43" s="199" t="s">
        <v>29</v>
      </c>
      <c r="BO43" s="199" t="s">
        <v>29</v>
      </c>
      <c r="BP43" s="199" t="s">
        <v>29</v>
      </c>
      <c r="BQ43" s="193"/>
      <c r="BR43" s="187">
        <v>0</v>
      </c>
      <c r="BS43" s="202">
        <v>300000</v>
      </c>
      <c r="BT43" s="199">
        <v>321040</v>
      </c>
      <c r="BU43" s="192" t="s">
        <v>1013</v>
      </c>
      <c r="BV43" s="192" t="s">
        <v>735</v>
      </c>
      <c r="BW43" s="192">
        <v>10</v>
      </c>
      <c r="BX43" s="192" t="s">
        <v>423</v>
      </c>
      <c r="BY43" s="192" t="s">
        <v>1014</v>
      </c>
      <c r="BZ43" s="192" t="s">
        <v>97</v>
      </c>
      <c r="CA43" s="192">
        <v>2</v>
      </c>
      <c r="CB43" s="192" t="s">
        <v>466</v>
      </c>
      <c r="CC43" s="192" t="s">
        <v>1015</v>
      </c>
      <c r="CD43" s="192" t="s">
        <v>489</v>
      </c>
      <c r="CE43" s="192">
        <v>20</v>
      </c>
      <c r="CF43" s="192" t="s">
        <v>488</v>
      </c>
      <c r="CG43" s="192" t="s">
        <v>441</v>
      </c>
      <c r="CH43" s="192" t="s">
        <v>97</v>
      </c>
      <c r="CI43" s="192">
        <v>6</v>
      </c>
      <c r="CJ43" s="192" t="s">
        <v>134</v>
      </c>
      <c r="CK43" s="192" t="s">
        <v>812</v>
      </c>
      <c r="CL43" s="192" t="s">
        <v>729</v>
      </c>
      <c r="CM43" s="192">
        <v>300</v>
      </c>
      <c r="CN43" s="192" t="s">
        <v>730</v>
      </c>
      <c r="CO43" s="192" t="s">
        <v>1016</v>
      </c>
      <c r="CP43" s="192" t="s">
        <v>97</v>
      </c>
      <c r="CQ43" s="192">
        <v>3</v>
      </c>
      <c r="CR43" s="192" t="s">
        <v>137</v>
      </c>
      <c r="CS43" s="192" t="s">
        <v>1017</v>
      </c>
      <c r="CT43" s="192" t="s">
        <v>416</v>
      </c>
      <c r="CU43" s="192">
        <v>30</v>
      </c>
      <c r="CV43" s="192" t="s">
        <v>733</v>
      </c>
      <c r="CW43" s="192" t="s">
        <v>1018</v>
      </c>
      <c r="CX43" s="192" t="s">
        <v>97</v>
      </c>
      <c r="CY43" s="192">
        <v>1</v>
      </c>
      <c r="CZ43" s="192" t="s">
        <v>133</v>
      </c>
      <c r="DA43" s="192" t="s">
        <v>316</v>
      </c>
      <c r="DB43" s="192" t="s">
        <v>316</v>
      </c>
      <c r="DC43" s="192" t="s">
        <v>316</v>
      </c>
      <c r="DD43" s="192" t="s">
        <v>316</v>
      </c>
      <c r="DE43" s="192" t="s">
        <v>316</v>
      </c>
      <c r="DF43" s="192" t="s">
        <v>316</v>
      </c>
      <c r="DG43" s="192" t="s">
        <v>316</v>
      </c>
      <c r="DH43" s="192" t="s">
        <v>316</v>
      </c>
      <c r="DI43" s="192" t="s">
        <v>316</v>
      </c>
      <c r="DJ43" s="192" t="s">
        <v>316</v>
      </c>
      <c r="DK43" s="192" t="s">
        <v>316</v>
      </c>
      <c r="DL43" s="192" t="s">
        <v>316</v>
      </c>
      <c r="DM43" s="192" t="s">
        <v>316</v>
      </c>
      <c r="DN43" s="192" t="s">
        <v>316</v>
      </c>
      <c r="DO43" s="192" t="s">
        <v>316</v>
      </c>
      <c r="DP43" s="192" t="s">
        <v>316</v>
      </c>
      <c r="DQ43" s="192" t="s">
        <v>316</v>
      </c>
      <c r="DR43" s="192" t="s">
        <v>316</v>
      </c>
      <c r="DS43" s="192" t="s">
        <v>316</v>
      </c>
      <c r="DT43" s="192" t="s">
        <v>316</v>
      </c>
      <c r="DU43" s="192" t="s">
        <v>316</v>
      </c>
      <c r="DV43" s="192" t="s">
        <v>316</v>
      </c>
      <c r="DW43" s="192" t="s">
        <v>316</v>
      </c>
      <c r="DX43" s="192" t="s">
        <v>316</v>
      </c>
      <c r="DY43" s="192" t="s">
        <v>316</v>
      </c>
      <c r="DZ43" s="192" t="s">
        <v>316</v>
      </c>
      <c r="EA43" s="192" t="s">
        <v>316</v>
      </c>
      <c r="EB43" s="192" t="s">
        <v>316</v>
      </c>
      <c r="EC43" s="192" t="s">
        <v>29</v>
      </c>
      <c r="ED43" s="192" t="s">
        <v>29</v>
      </c>
      <c r="EE43" s="192" t="s">
        <v>29</v>
      </c>
      <c r="EF43" s="192" t="s">
        <v>29</v>
      </c>
      <c r="EG43" s="192" t="s">
        <v>29</v>
      </c>
      <c r="EH43" s="192" t="s">
        <v>29</v>
      </c>
      <c r="EI43" s="192" t="s">
        <v>29</v>
      </c>
      <c r="EJ43" s="192" t="s">
        <v>29</v>
      </c>
      <c r="EK43" s="192" t="s">
        <v>29</v>
      </c>
      <c r="EL43" s="192" t="s">
        <v>29</v>
      </c>
      <c r="EM43" s="192" t="s">
        <v>29</v>
      </c>
      <c r="EN43" s="192" t="s">
        <v>29</v>
      </c>
    </row>
    <row r="44" spans="1:146" ht="15">
      <c r="A44" s="187" t="str">
        <f t="shared" si="0"/>
        <v>MIZPP09522875352A</v>
      </c>
      <c r="B44" s="197" t="s">
        <v>240</v>
      </c>
      <c r="C44" s="198" t="s">
        <v>226</v>
      </c>
      <c r="D44" s="199" t="s">
        <v>1108</v>
      </c>
      <c r="E44" s="199">
        <v>22875352</v>
      </c>
      <c r="F44" s="199" t="s">
        <v>616</v>
      </c>
      <c r="G44" s="187"/>
      <c r="H44" s="198"/>
      <c r="I44" s="187"/>
      <c r="J44" s="187"/>
      <c r="K44" s="187"/>
      <c r="L44" s="200"/>
      <c r="M44" s="199" t="s">
        <v>616</v>
      </c>
      <c r="N44" s="198"/>
      <c r="O44" s="200"/>
      <c r="P44" s="198"/>
      <c r="Q44" s="199" t="s">
        <v>270</v>
      </c>
      <c r="R44" s="187"/>
      <c r="S44" s="198"/>
      <c r="T44" s="198"/>
      <c r="U44" s="187"/>
      <c r="V44" s="187"/>
      <c r="W44" s="187"/>
      <c r="X44" s="187"/>
      <c r="Y44" s="199" t="s">
        <v>576</v>
      </c>
      <c r="Z44" s="201">
        <v>224784</v>
      </c>
      <c r="AA44" s="201">
        <v>30000</v>
      </c>
      <c r="AB44" s="193">
        <f t="shared" si="1"/>
        <v>254784</v>
      </c>
      <c r="AC44" s="201">
        <v>10000</v>
      </c>
      <c r="AD44" s="201">
        <v>0</v>
      </c>
      <c r="AE44" s="193">
        <f t="shared" si="2"/>
        <v>10000</v>
      </c>
      <c r="AF44" s="201">
        <v>21416</v>
      </c>
      <c r="AG44" s="196"/>
      <c r="AH44" s="187"/>
      <c r="AI44" s="187"/>
      <c r="AJ44" s="187"/>
      <c r="AK44" s="193">
        <f t="shared" si="3"/>
        <v>21416</v>
      </c>
      <c r="AL44" s="199" t="s">
        <v>29</v>
      </c>
      <c r="AM44" s="199" t="s">
        <v>29</v>
      </c>
      <c r="AN44" s="199" t="s">
        <v>29</v>
      </c>
      <c r="AO44" s="199" t="s">
        <v>29</v>
      </c>
      <c r="AP44" s="193"/>
      <c r="AQ44" s="201">
        <v>0</v>
      </c>
      <c r="AR44" s="201">
        <v>6000</v>
      </c>
      <c r="AS44" s="201">
        <v>0</v>
      </c>
      <c r="AT44" s="201">
        <v>0</v>
      </c>
      <c r="AU44" s="201">
        <v>7800</v>
      </c>
      <c r="AV44" s="201">
        <v>0</v>
      </c>
      <c r="AW44" s="201">
        <v>0</v>
      </c>
      <c r="AX44" s="201">
        <v>0</v>
      </c>
      <c r="AY44" s="199" t="s">
        <v>637</v>
      </c>
      <c r="AZ44" s="199">
        <v>0</v>
      </c>
      <c r="BA44" s="199" t="s">
        <v>29</v>
      </c>
      <c r="BB44" s="199" t="s">
        <v>29</v>
      </c>
      <c r="BC44" s="199" t="s">
        <v>29</v>
      </c>
      <c r="BD44" s="199" t="s">
        <v>29</v>
      </c>
      <c r="BE44" s="199" t="s">
        <v>29</v>
      </c>
      <c r="BF44" s="199" t="s">
        <v>29</v>
      </c>
      <c r="BG44" s="199" t="s">
        <v>29</v>
      </c>
      <c r="BH44" s="199" t="s">
        <v>29</v>
      </c>
      <c r="BI44" s="199" t="s">
        <v>29</v>
      </c>
      <c r="BJ44" s="199" t="s">
        <v>29</v>
      </c>
      <c r="BK44" s="199" t="s">
        <v>29</v>
      </c>
      <c r="BL44" s="199" t="s">
        <v>29</v>
      </c>
      <c r="BM44" s="199" t="s">
        <v>29</v>
      </c>
      <c r="BN44" s="199" t="s">
        <v>29</v>
      </c>
      <c r="BO44" s="199" t="s">
        <v>29</v>
      </c>
      <c r="BP44" s="199" t="s">
        <v>29</v>
      </c>
      <c r="BQ44" s="193"/>
      <c r="BR44" s="187">
        <v>0</v>
      </c>
      <c r="BS44" s="202">
        <v>300000</v>
      </c>
      <c r="BT44" s="199">
        <v>205000</v>
      </c>
      <c r="BU44" s="192" t="s">
        <v>443</v>
      </c>
      <c r="BV44" s="192" t="s">
        <v>414</v>
      </c>
      <c r="BW44" s="192">
        <v>30</v>
      </c>
      <c r="BX44" s="192" t="s">
        <v>806</v>
      </c>
      <c r="BY44" s="192" t="s">
        <v>1019</v>
      </c>
      <c r="BZ44" s="192" t="s">
        <v>414</v>
      </c>
      <c r="CA44" s="192">
        <v>180</v>
      </c>
      <c r="CB44" s="192" t="s">
        <v>808</v>
      </c>
      <c r="CC44" s="192" t="s">
        <v>136</v>
      </c>
      <c r="CD44" s="192" t="s">
        <v>97</v>
      </c>
      <c r="CE44" s="192">
        <v>10</v>
      </c>
      <c r="CF44" s="192" t="s">
        <v>466</v>
      </c>
      <c r="CG44" s="192" t="s">
        <v>444</v>
      </c>
      <c r="CH44" s="192" t="s">
        <v>489</v>
      </c>
      <c r="CI44" s="192">
        <v>2500</v>
      </c>
      <c r="CJ44" s="192" t="s">
        <v>488</v>
      </c>
      <c r="CK44" s="192" t="s">
        <v>423</v>
      </c>
      <c r="CL44" s="192" t="s">
        <v>735</v>
      </c>
      <c r="CM44" s="192">
        <v>100</v>
      </c>
      <c r="CN44" s="192" t="s">
        <v>423</v>
      </c>
      <c r="CO44" s="192" t="s">
        <v>445</v>
      </c>
      <c r="CP44" s="192" t="s">
        <v>97</v>
      </c>
      <c r="CQ44" s="192">
        <v>1</v>
      </c>
      <c r="CR44" s="192" t="s">
        <v>137</v>
      </c>
      <c r="CS44" s="192" t="s">
        <v>446</v>
      </c>
      <c r="CT44" s="192" t="s">
        <v>416</v>
      </c>
      <c r="CU44" s="192">
        <v>600</v>
      </c>
      <c r="CV44" s="192" t="s">
        <v>733</v>
      </c>
      <c r="CW44" s="192" t="s">
        <v>447</v>
      </c>
      <c r="CX44" s="192" t="s">
        <v>97</v>
      </c>
      <c r="CY44" s="192">
        <v>1</v>
      </c>
      <c r="CZ44" s="192" t="s">
        <v>137</v>
      </c>
      <c r="DA44" s="192" t="s">
        <v>448</v>
      </c>
      <c r="DB44" s="192" t="s">
        <v>416</v>
      </c>
      <c r="DC44" s="192">
        <v>1000</v>
      </c>
      <c r="DD44" s="192" t="s">
        <v>733</v>
      </c>
      <c r="DE44" s="192" t="s">
        <v>449</v>
      </c>
      <c r="DF44" s="192" t="s">
        <v>97</v>
      </c>
      <c r="DG44" s="192">
        <v>1</v>
      </c>
      <c r="DH44" s="192" t="s">
        <v>137</v>
      </c>
      <c r="DI44" s="192" t="s">
        <v>450</v>
      </c>
      <c r="DJ44" s="192" t="s">
        <v>416</v>
      </c>
      <c r="DK44" s="192">
        <v>120000</v>
      </c>
      <c r="DL44" s="192" t="s">
        <v>733</v>
      </c>
      <c r="DM44" s="192" t="s">
        <v>139</v>
      </c>
      <c r="DN44" s="192" t="s">
        <v>144</v>
      </c>
      <c r="DO44" s="192">
        <v>300</v>
      </c>
      <c r="DP44" s="192" t="s">
        <v>948</v>
      </c>
      <c r="DQ44" s="192" t="s">
        <v>726</v>
      </c>
      <c r="DR44" s="192" t="s">
        <v>725</v>
      </c>
      <c r="DS44" s="192">
        <v>150</v>
      </c>
      <c r="DT44" s="192" t="s">
        <v>726</v>
      </c>
      <c r="DU44" s="192" t="s">
        <v>316</v>
      </c>
      <c r="DV44" s="192" t="s">
        <v>316</v>
      </c>
      <c r="DW44" s="192" t="s">
        <v>316</v>
      </c>
      <c r="DX44" s="192" t="s">
        <v>316</v>
      </c>
      <c r="DY44" s="192" t="s">
        <v>316</v>
      </c>
      <c r="DZ44" s="192" t="s">
        <v>316</v>
      </c>
      <c r="EA44" s="192" t="s">
        <v>316</v>
      </c>
      <c r="EB44" s="192" t="s">
        <v>316</v>
      </c>
      <c r="EC44" s="192" t="s">
        <v>29</v>
      </c>
      <c r="ED44" s="192" t="s">
        <v>29</v>
      </c>
      <c r="EE44" s="192" t="s">
        <v>29</v>
      </c>
      <c r="EF44" s="192" t="s">
        <v>29</v>
      </c>
      <c r="EG44" s="192" t="s">
        <v>29</v>
      </c>
      <c r="EH44" s="192" t="s">
        <v>29</v>
      </c>
      <c r="EI44" s="192" t="s">
        <v>29</v>
      </c>
      <c r="EJ44" s="192" t="s">
        <v>29</v>
      </c>
      <c r="EK44" s="192" t="s">
        <v>29</v>
      </c>
      <c r="EL44" s="192" t="s">
        <v>29</v>
      </c>
      <c r="EM44" s="192" t="s">
        <v>29</v>
      </c>
      <c r="EN44" s="192" t="s">
        <v>29</v>
      </c>
    </row>
    <row r="45" spans="1:146" ht="15">
      <c r="A45" s="187" t="str">
        <f t="shared" si="0"/>
        <v>MIZPP09765841638A</v>
      </c>
      <c r="B45" s="197" t="s">
        <v>175</v>
      </c>
      <c r="C45" s="198" t="s">
        <v>226</v>
      </c>
      <c r="D45" s="199" t="s">
        <v>1109</v>
      </c>
      <c r="E45" s="199">
        <v>65841638</v>
      </c>
      <c r="F45" s="199" t="s">
        <v>257</v>
      </c>
      <c r="G45" s="187"/>
      <c r="H45" s="198"/>
      <c r="I45" s="187"/>
      <c r="J45" s="187"/>
      <c r="K45" s="187"/>
      <c r="L45" s="200"/>
      <c r="M45" s="199" t="s">
        <v>257</v>
      </c>
      <c r="N45" s="198"/>
      <c r="O45" s="200"/>
      <c r="P45" s="198"/>
      <c r="Q45" s="199" t="s">
        <v>274</v>
      </c>
      <c r="R45" s="187"/>
      <c r="S45" s="198"/>
      <c r="T45" s="198"/>
      <c r="U45" s="187"/>
      <c r="V45" s="187"/>
      <c r="W45" s="187"/>
      <c r="X45" s="187"/>
      <c r="Y45" s="199" t="s">
        <v>577</v>
      </c>
      <c r="Z45" s="201">
        <v>260000</v>
      </c>
      <c r="AA45" s="201">
        <v>25000</v>
      </c>
      <c r="AB45" s="193">
        <f t="shared" si="1"/>
        <v>285000</v>
      </c>
      <c r="AC45" s="201">
        <v>0</v>
      </c>
      <c r="AD45" s="201">
        <v>0</v>
      </c>
      <c r="AE45" s="193">
        <f t="shared" si="2"/>
        <v>0</v>
      </c>
      <c r="AF45" s="201">
        <v>5000</v>
      </c>
      <c r="AG45" s="196"/>
      <c r="AH45" s="187"/>
      <c r="AI45" s="187"/>
      <c r="AJ45" s="187"/>
      <c r="AK45" s="193">
        <f t="shared" si="3"/>
        <v>5000</v>
      </c>
      <c r="AL45" s="199" t="s">
        <v>29</v>
      </c>
      <c r="AM45" s="199" t="s">
        <v>29</v>
      </c>
      <c r="AN45" s="199" t="s">
        <v>29</v>
      </c>
      <c r="AO45" s="199" t="s">
        <v>29</v>
      </c>
      <c r="AP45" s="193"/>
      <c r="AQ45" s="201">
        <v>0</v>
      </c>
      <c r="AR45" s="201">
        <v>0</v>
      </c>
      <c r="AS45" s="201">
        <v>0</v>
      </c>
      <c r="AT45" s="201">
        <v>0</v>
      </c>
      <c r="AU45" s="201">
        <v>0</v>
      </c>
      <c r="AV45" s="201">
        <v>10000</v>
      </c>
      <c r="AW45" s="201">
        <v>0</v>
      </c>
      <c r="AX45" s="201">
        <v>0</v>
      </c>
      <c r="AY45" s="199" t="s">
        <v>637</v>
      </c>
      <c r="AZ45" s="199">
        <v>0</v>
      </c>
      <c r="BA45" s="199" t="s">
        <v>29</v>
      </c>
      <c r="BB45" s="199" t="s">
        <v>29</v>
      </c>
      <c r="BC45" s="199" t="s">
        <v>29</v>
      </c>
      <c r="BD45" s="199" t="s">
        <v>29</v>
      </c>
      <c r="BE45" s="199" t="s">
        <v>29</v>
      </c>
      <c r="BF45" s="199" t="s">
        <v>29</v>
      </c>
      <c r="BG45" s="199" t="s">
        <v>29</v>
      </c>
      <c r="BH45" s="199" t="s">
        <v>29</v>
      </c>
      <c r="BI45" s="199" t="s">
        <v>29</v>
      </c>
      <c r="BJ45" s="199" t="s">
        <v>29</v>
      </c>
      <c r="BK45" s="199" t="s">
        <v>29</v>
      </c>
      <c r="BL45" s="199" t="s">
        <v>29</v>
      </c>
      <c r="BM45" s="199" t="s">
        <v>29</v>
      </c>
      <c r="BN45" s="199" t="s">
        <v>29</v>
      </c>
      <c r="BO45" s="199" t="s">
        <v>29</v>
      </c>
      <c r="BP45" s="199" t="s">
        <v>29</v>
      </c>
      <c r="BQ45" s="193"/>
      <c r="BR45" s="187">
        <v>0</v>
      </c>
      <c r="BS45" s="202">
        <v>300000</v>
      </c>
      <c r="BT45" s="199">
        <v>131204</v>
      </c>
      <c r="BU45" s="192" t="s">
        <v>454</v>
      </c>
      <c r="BV45" s="192" t="s">
        <v>97</v>
      </c>
      <c r="BW45" s="192">
        <v>2</v>
      </c>
      <c r="BX45" s="192" t="s">
        <v>466</v>
      </c>
      <c r="BY45" s="192" t="s">
        <v>469</v>
      </c>
      <c r="BZ45" s="192" t="s">
        <v>489</v>
      </c>
      <c r="CA45" s="192">
        <v>15</v>
      </c>
      <c r="CB45" s="192" t="s">
        <v>488</v>
      </c>
      <c r="CC45" s="192" t="s">
        <v>1020</v>
      </c>
      <c r="CD45" s="192" t="s">
        <v>777</v>
      </c>
      <c r="CE45" s="192">
        <v>1</v>
      </c>
      <c r="CF45" s="192" t="s">
        <v>138</v>
      </c>
      <c r="CG45" s="192" t="s">
        <v>1021</v>
      </c>
      <c r="CH45" s="192" t="s">
        <v>489</v>
      </c>
      <c r="CI45" s="192">
        <v>11</v>
      </c>
      <c r="CJ45" s="192" t="s">
        <v>418</v>
      </c>
      <c r="CK45" s="192" t="s">
        <v>1022</v>
      </c>
      <c r="CL45" s="192" t="s">
        <v>97</v>
      </c>
      <c r="CM45" s="192">
        <v>1</v>
      </c>
      <c r="CN45" s="192" t="s">
        <v>137</v>
      </c>
      <c r="CO45" s="192" t="s">
        <v>1022</v>
      </c>
      <c r="CP45" s="192" t="s">
        <v>416</v>
      </c>
      <c r="CQ45" s="192">
        <v>50</v>
      </c>
      <c r="CR45" s="192" t="s">
        <v>733</v>
      </c>
      <c r="CS45" s="192" t="s">
        <v>316</v>
      </c>
      <c r="CT45" s="192" t="s">
        <v>316</v>
      </c>
      <c r="CU45" s="192" t="s">
        <v>316</v>
      </c>
      <c r="CV45" s="192" t="s">
        <v>316</v>
      </c>
      <c r="CW45" s="192" t="s">
        <v>316</v>
      </c>
      <c r="CX45" s="192" t="s">
        <v>316</v>
      </c>
      <c r="CY45" s="192" t="s">
        <v>316</v>
      </c>
      <c r="CZ45" s="192" t="s">
        <v>316</v>
      </c>
      <c r="DA45" s="192" t="s">
        <v>316</v>
      </c>
      <c r="DB45" s="192" t="s">
        <v>316</v>
      </c>
      <c r="DC45" s="192" t="s">
        <v>316</v>
      </c>
      <c r="DD45" s="192" t="s">
        <v>316</v>
      </c>
      <c r="DE45" s="192" t="s">
        <v>316</v>
      </c>
      <c r="DF45" s="192" t="s">
        <v>316</v>
      </c>
      <c r="DG45" s="192" t="s">
        <v>316</v>
      </c>
      <c r="DH45" s="192" t="s">
        <v>316</v>
      </c>
      <c r="DI45" s="192" t="s">
        <v>316</v>
      </c>
      <c r="DJ45" s="192" t="s">
        <v>316</v>
      </c>
      <c r="DK45" s="192" t="s">
        <v>316</v>
      </c>
      <c r="DL45" s="192" t="s">
        <v>316</v>
      </c>
      <c r="DM45" s="192" t="s">
        <v>316</v>
      </c>
      <c r="DN45" s="192" t="s">
        <v>316</v>
      </c>
      <c r="DO45" s="192" t="s">
        <v>316</v>
      </c>
      <c r="DP45" s="192" t="s">
        <v>316</v>
      </c>
      <c r="DQ45" s="192" t="s">
        <v>316</v>
      </c>
      <c r="DR45" s="192" t="s">
        <v>316</v>
      </c>
      <c r="DS45" s="192" t="s">
        <v>316</v>
      </c>
      <c r="DT45" s="192" t="s">
        <v>316</v>
      </c>
      <c r="DU45" s="192" t="s">
        <v>316</v>
      </c>
      <c r="DV45" s="192" t="s">
        <v>316</v>
      </c>
      <c r="DW45" s="192" t="s">
        <v>316</v>
      </c>
      <c r="DX45" s="192" t="s">
        <v>316</v>
      </c>
      <c r="DY45" s="192" t="s">
        <v>316</v>
      </c>
      <c r="DZ45" s="192" t="s">
        <v>316</v>
      </c>
      <c r="EA45" s="192" t="s">
        <v>316</v>
      </c>
      <c r="EB45" s="192" t="s">
        <v>316</v>
      </c>
      <c r="EC45" s="192" t="s">
        <v>29</v>
      </c>
      <c r="ED45" s="192" t="s">
        <v>29</v>
      </c>
      <c r="EE45" s="192" t="s">
        <v>29</v>
      </c>
      <c r="EF45" s="192" t="s">
        <v>29</v>
      </c>
      <c r="EG45" s="192" t="s">
        <v>29</v>
      </c>
      <c r="EH45" s="192" t="s">
        <v>29</v>
      </c>
      <c r="EI45" s="192" t="s">
        <v>29</v>
      </c>
      <c r="EJ45" s="192" t="s">
        <v>29</v>
      </c>
      <c r="EK45" s="192" t="s">
        <v>29</v>
      </c>
      <c r="EL45" s="192" t="s">
        <v>29</v>
      </c>
      <c r="EM45" s="192" t="s">
        <v>29</v>
      </c>
      <c r="EN45" s="192" t="s">
        <v>29</v>
      </c>
    </row>
    <row r="46" spans="1:146" ht="15">
      <c r="A46" s="187" t="str">
        <f t="shared" si="0"/>
        <v>MIZPP10202572079A</v>
      </c>
      <c r="B46" s="197" t="s">
        <v>529</v>
      </c>
      <c r="C46" s="198" t="s">
        <v>226</v>
      </c>
      <c r="D46" s="199" t="s">
        <v>1110</v>
      </c>
      <c r="E46" s="199" t="s">
        <v>590</v>
      </c>
      <c r="F46" s="199" t="s">
        <v>617</v>
      </c>
      <c r="G46" s="187"/>
      <c r="H46" s="198"/>
      <c r="I46" s="187"/>
      <c r="J46" s="187"/>
      <c r="K46" s="187"/>
      <c r="L46" s="200"/>
      <c r="M46" s="199" t="s">
        <v>617</v>
      </c>
      <c r="N46" s="198"/>
      <c r="O46" s="200"/>
      <c r="P46" s="198"/>
      <c r="Q46" s="199" t="s">
        <v>634</v>
      </c>
      <c r="R46" s="187"/>
      <c r="S46" s="198"/>
      <c r="T46" s="198"/>
      <c r="U46" s="187"/>
      <c r="V46" s="187"/>
      <c r="W46" s="187"/>
      <c r="X46" s="187"/>
      <c r="Y46" s="199" t="s">
        <v>578</v>
      </c>
      <c r="Z46" s="201">
        <v>160000</v>
      </c>
      <c r="AA46" s="201">
        <v>5000</v>
      </c>
      <c r="AB46" s="193">
        <f t="shared" si="1"/>
        <v>165000</v>
      </c>
      <c r="AC46" s="201">
        <v>0</v>
      </c>
      <c r="AD46" s="201">
        <v>0</v>
      </c>
      <c r="AE46" s="193">
        <f t="shared" si="2"/>
        <v>0</v>
      </c>
      <c r="AF46" s="201">
        <v>20000</v>
      </c>
      <c r="AG46" s="196"/>
      <c r="AH46" s="187"/>
      <c r="AI46" s="187"/>
      <c r="AJ46" s="187"/>
      <c r="AK46" s="193">
        <f t="shared" si="3"/>
        <v>20000</v>
      </c>
      <c r="AL46" s="199" t="s">
        <v>29</v>
      </c>
      <c r="AM46" s="199" t="s">
        <v>29</v>
      </c>
      <c r="AN46" s="199" t="s">
        <v>29</v>
      </c>
      <c r="AO46" s="199" t="s">
        <v>29</v>
      </c>
      <c r="AP46" s="193"/>
      <c r="AQ46" s="201">
        <v>0</v>
      </c>
      <c r="AR46" s="201">
        <v>40000</v>
      </c>
      <c r="AS46" s="201">
        <v>0</v>
      </c>
      <c r="AT46" s="201">
        <v>15000</v>
      </c>
      <c r="AU46" s="201">
        <v>40000</v>
      </c>
      <c r="AV46" s="201">
        <v>0</v>
      </c>
      <c r="AW46" s="201">
        <v>0</v>
      </c>
      <c r="AX46" s="201">
        <v>0</v>
      </c>
      <c r="AY46" s="199" t="s">
        <v>637</v>
      </c>
      <c r="AZ46" s="199">
        <v>0</v>
      </c>
      <c r="BA46" s="199" t="s">
        <v>29</v>
      </c>
      <c r="BB46" s="199" t="s">
        <v>29</v>
      </c>
      <c r="BC46" s="199" t="s">
        <v>29</v>
      </c>
      <c r="BD46" s="199" t="s">
        <v>29</v>
      </c>
      <c r="BE46" s="199" t="s">
        <v>29</v>
      </c>
      <c r="BF46" s="199" t="s">
        <v>29</v>
      </c>
      <c r="BG46" s="199" t="s">
        <v>29</v>
      </c>
      <c r="BH46" s="199" t="s">
        <v>29</v>
      </c>
      <c r="BI46" s="199" t="s">
        <v>29</v>
      </c>
      <c r="BJ46" s="199" t="s">
        <v>29</v>
      </c>
      <c r="BK46" s="199" t="s">
        <v>29</v>
      </c>
      <c r="BL46" s="199" t="s">
        <v>29</v>
      </c>
      <c r="BM46" s="199" t="s">
        <v>29</v>
      </c>
      <c r="BN46" s="199" t="s">
        <v>29</v>
      </c>
      <c r="BO46" s="199" t="s">
        <v>29</v>
      </c>
      <c r="BP46" s="199" t="s">
        <v>29</v>
      </c>
      <c r="BQ46" s="193"/>
      <c r="BR46" s="187">
        <v>20000</v>
      </c>
      <c r="BS46" s="202">
        <v>300000</v>
      </c>
      <c r="BT46" s="199">
        <v>595950</v>
      </c>
      <c r="BU46" s="192" t="s">
        <v>1023</v>
      </c>
      <c r="BV46" s="192" t="s">
        <v>97</v>
      </c>
      <c r="BW46" s="192">
        <v>1</v>
      </c>
      <c r="BX46" s="192" t="s">
        <v>137</v>
      </c>
      <c r="BY46" s="192" t="s">
        <v>1024</v>
      </c>
      <c r="BZ46" s="192" t="s">
        <v>416</v>
      </c>
      <c r="CA46" s="192">
        <v>100</v>
      </c>
      <c r="CB46" s="192" t="s">
        <v>733</v>
      </c>
      <c r="CC46" s="192" t="s">
        <v>1025</v>
      </c>
      <c r="CD46" s="192" t="s">
        <v>97</v>
      </c>
      <c r="CE46" s="192">
        <v>1</v>
      </c>
      <c r="CF46" s="192" t="s">
        <v>137</v>
      </c>
      <c r="CG46" s="192" t="s">
        <v>1026</v>
      </c>
      <c r="CH46" s="192" t="s">
        <v>416</v>
      </c>
      <c r="CI46" s="192">
        <v>100</v>
      </c>
      <c r="CJ46" s="192" t="s">
        <v>733</v>
      </c>
      <c r="CK46" s="192" t="s">
        <v>1027</v>
      </c>
      <c r="CL46" s="192" t="s">
        <v>97</v>
      </c>
      <c r="CM46" s="192">
        <v>3</v>
      </c>
      <c r="CN46" s="192" t="s">
        <v>466</v>
      </c>
      <c r="CO46" s="192" t="s">
        <v>439</v>
      </c>
      <c r="CP46" s="192" t="s">
        <v>489</v>
      </c>
      <c r="CQ46" s="192">
        <v>500</v>
      </c>
      <c r="CR46" s="192" t="s">
        <v>488</v>
      </c>
      <c r="CS46" s="192" t="s">
        <v>1028</v>
      </c>
      <c r="CT46" s="192" t="s">
        <v>97</v>
      </c>
      <c r="CU46" s="192">
        <v>1</v>
      </c>
      <c r="CV46" s="192" t="s">
        <v>138</v>
      </c>
      <c r="CW46" s="192" t="s">
        <v>1029</v>
      </c>
      <c r="CX46" s="192" t="s">
        <v>489</v>
      </c>
      <c r="CY46" s="192">
        <v>100</v>
      </c>
      <c r="CZ46" s="192" t="s">
        <v>418</v>
      </c>
      <c r="DA46" s="192" t="s">
        <v>316</v>
      </c>
      <c r="DB46" s="192" t="s">
        <v>316</v>
      </c>
      <c r="DC46" s="192" t="s">
        <v>316</v>
      </c>
      <c r="DD46" s="192" t="s">
        <v>316</v>
      </c>
      <c r="DE46" s="192" t="s">
        <v>316</v>
      </c>
      <c r="DF46" s="192" t="s">
        <v>316</v>
      </c>
      <c r="DG46" s="192" t="s">
        <v>316</v>
      </c>
      <c r="DH46" s="192" t="s">
        <v>316</v>
      </c>
      <c r="DI46" s="192" t="s">
        <v>316</v>
      </c>
      <c r="DJ46" s="192" t="s">
        <v>316</v>
      </c>
      <c r="DK46" s="192" t="s">
        <v>316</v>
      </c>
      <c r="DL46" s="192" t="s">
        <v>316</v>
      </c>
      <c r="DM46" s="192" t="s">
        <v>316</v>
      </c>
      <c r="DN46" s="192" t="s">
        <v>316</v>
      </c>
      <c r="DO46" s="192" t="s">
        <v>316</v>
      </c>
      <c r="DP46" s="192" t="s">
        <v>316</v>
      </c>
      <c r="DQ46" s="192" t="s">
        <v>316</v>
      </c>
      <c r="DR46" s="192" t="s">
        <v>316</v>
      </c>
      <c r="DS46" s="192" t="s">
        <v>316</v>
      </c>
      <c r="DT46" s="192" t="s">
        <v>316</v>
      </c>
      <c r="DU46" s="192" t="s">
        <v>316</v>
      </c>
      <c r="DV46" s="192" t="s">
        <v>316</v>
      </c>
      <c r="DW46" s="192" t="s">
        <v>316</v>
      </c>
      <c r="DX46" s="192" t="s">
        <v>316</v>
      </c>
      <c r="DY46" s="192" t="s">
        <v>316</v>
      </c>
      <c r="DZ46" s="192" t="s">
        <v>316</v>
      </c>
      <c r="EA46" s="192" t="s">
        <v>316</v>
      </c>
      <c r="EB46" s="192" t="s">
        <v>316</v>
      </c>
      <c r="EC46" s="192" t="s">
        <v>29</v>
      </c>
      <c r="ED46" s="192" t="s">
        <v>29</v>
      </c>
      <c r="EE46" s="192" t="s">
        <v>29</v>
      </c>
      <c r="EF46" s="192" t="s">
        <v>29</v>
      </c>
      <c r="EG46" s="192" t="s">
        <v>29</v>
      </c>
      <c r="EH46" s="192" t="s">
        <v>29</v>
      </c>
      <c r="EI46" s="192" t="s">
        <v>29</v>
      </c>
      <c r="EJ46" s="192" t="s">
        <v>29</v>
      </c>
      <c r="EK46" s="192" t="s">
        <v>29</v>
      </c>
      <c r="EL46" s="192" t="s">
        <v>29</v>
      </c>
      <c r="EM46" s="192" t="s">
        <v>29</v>
      </c>
      <c r="EN46" s="192" t="s">
        <v>29</v>
      </c>
    </row>
    <row r="47" spans="1:146" ht="15">
      <c r="A47" s="187" t="str">
        <f t="shared" si="0"/>
        <v>MIZPP10464244873A</v>
      </c>
      <c r="B47" s="197" t="s">
        <v>241</v>
      </c>
      <c r="C47" s="198" t="s">
        <v>226</v>
      </c>
      <c r="D47" s="199" t="s">
        <v>1104</v>
      </c>
      <c r="E47" s="199">
        <v>64244873</v>
      </c>
      <c r="F47" s="199" t="s">
        <v>612</v>
      </c>
      <c r="G47" s="187"/>
      <c r="H47" s="198"/>
      <c r="I47" s="187"/>
      <c r="J47" s="187"/>
      <c r="K47" s="187"/>
      <c r="L47" s="200"/>
      <c r="M47" s="199" t="s">
        <v>612</v>
      </c>
      <c r="N47" s="198"/>
      <c r="O47" s="200"/>
      <c r="P47" s="198"/>
      <c r="Q47" s="199" t="s">
        <v>632</v>
      </c>
      <c r="R47" s="187"/>
      <c r="S47" s="198"/>
      <c r="T47" s="198"/>
      <c r="U47" s="187"/>
      <c r="V47" s="187"/>
      <c r="W47" s="187"/>
      <c r="X47" s="187"/>
      <c r="Y47" s="199" t="s">
        <v>579</v>
      </c>
      <c r="Z47" s="201">
        <v>286119</v>
      </c>
      <c r="AA47" s="201">
        <v>0</v>
      </c>
      <c r="AB47" s="193">
        <f t="shared" si="1"/>
        <v>286119</v>
      </c>
      <c r="AC47" s="201">
        <v>0</v>
      </c>
      <c r="AD47" s="201">
        <v>0</v>
      </c>
      <c r="AE47" s="193">
        <f t="shared" si="2"/>
        <v>0</v>
      </c>
      <c r="AF47" s="201">
        <v>0</v>
      </c>
      <c r="AG47" s="196"/>
      <c r="AH47" s="187"/>
      <c r="AI47" s="187"/>
      <c r="AJ47" s="187"/>
      <c r="AK47" s="193">
        <f t="shared" si="3"/>
        <v>0</v>
      </c>
      <c r="AL47" s="199" t="s">
        <v>29</v>
      </c>
      <c r="AM47" s="199" t="s">
        <v>29</v>
      </c>
      <c r="AN47" s="199" t="s">
        <v>29</v>
      </c>
      <c r="AO47" s="199" t="s">
        <v>29</v>
      </c>
      <c r="AP47" s="193"/>
      <c r="AQ47" s="201">
        <v>6000</v>
      </c>
      <c r="AR47" s="201">
        <v>0</v>
      </c>
      <c r="AS47" s="201">
        <v>0</v>
      </c>
      <c r="AT47" s="201">
        <v>0</v>
      </c>
      <c r="AU47" s="201">
        <v>0</v>
      </c>
      <c r="AV47" s="201">
        <v>0</v>
      </c>
      <c r="AW47" s="201">
        <v>0</v>
      </c>
      <c r="AX47" s="201">
        <v>0</v>
      </c>
      <c r="AY47" s="199" t="s">
        <v>637</v>
      </c>
      <c r="AZ47" s="199">
        <v>0</v>
      </c>
      <c r="BA47" s="199" t="s">
        <v>29</v>
      </c>
      <c r="BB47" s="199" t="s">
        <v>29</v>
      </c>
      <c r="BC47" s="199" t="s">
        <v>29</v>
      </c>
      <c r="BD47" s="199" t="s">
        <v>29</v>
      </c>
      <c r="BE47" s="199" t="s">
        <v>29</v>
      </c>
      <c r="BF47" s="199" t="s">
        <v>29</v>
      </c>
      <c r="BG47" s="199" t="s">
        <v>29</v>
      </c>
      <c r="BH47" s="199" t="s">
        <v>29</v>
      </c>
      <c r="BI47" s="199" t="s">
        <v>29</v>
      </c>
      <c r="BJ47" s="199" t="s">
        <v>29</v>
      </c>
      <c r="BK47" s="199" t="s">
        <v>29</v>
      </c>
      <c r="BL47" s="199" t="s">
        <v>29</v>
      </c>
      <c r="BM47" s="199" t="s">
        <v>29</v>
      </c>
      <c r="BN47" s="199" t="s">
        <v>29</v>
      </c>
      <c r="BO47" s="199" t="s">
        <v>29</v>
      </c>
      <c r="BP47" s="199" t="s">
        <v>29</v>
      </c>
      <c r="BQ47" s="193"/>
      <c r="BR47" s="187">
        <v>0</v>
      </c>
      <c r="BS47" s="202">
        <v>292119</v>
      </c>
      <c r="BT47" s="199">
        <v>196746</v>
      </c>
      <c r="BU47" s="192" t="s">
        <v>162</v>
      </c>
      <c r="BV47" s="192" t="s">
        <v>777</v>
      </c>
      <c r="BW47" s="192">
        <v>2</v>
      </c>
      <c r="BX47" s="192" t="s">
        <v>138</v>
      </c>
      <c r="BY47" s="192" t="s">
        <v>1030</v>
      </c>
      <c r="BZ47" s="192" t="s">
        <v>489</v>
      </c>
      <c r="CA47" s="192">
        <v>30</v>
      </c>
      <c r="CB47" s="192" t="s">
        <v>418</v>
      </c>
      <c r="CC47" s="192" t="s">
        <v>1031</v>
      </c>
      <c r="CD47" s="192" t="s">
        <v>97</v>
      </c>
      <c r="CE47" s="192">
        <v>1</v>
      </c>
      <c r="CF47" s="192" t="s">
        <v>466</v>
      </c>
      <c r="CG47" s="192" t="s">
        <v>1032</v>
      </c>
      <c r="CH47" s="192" t="s">
        <v>489</v>
      </c>
      <c r="CI47" s="192">
        <v>12</v>
      </c>
      <c r="CJ47" s="192" t="s">
        <v>488</v>
      </c>
      <c r="CK47" s="192" t="s">
        <v>316</v>
      </c>
      <c r="CL47" s="192" t="s">
        <v>316</v>
      </c>
      <c r="CM47" s="192" t="s">
        <v>316</v>
      </c>
      <c r="CN47" s="192" t="s">
        <v>316</v>
      </c>
      <c r="CO47" s="192" t="s">
        <v>316</v>
      </c>
      <c r="CP47" s="192" t="s">
        <v>316</v>
      </c>
      <c r="CQ47" s="192" t="s">
        <v>316</v>
      </c>
      <c r="CR47" s="192" t="s">
        <v>316</v>
      </c>
      <c r="CS47" s="192" t="s">
        <v>316</v>
      </c>
      <c r="CT47" s="192" t="s">
        <v>316</v>
      </c>
      <c r="CU47" s="192" t="s">
        <v>316</v>
      </c>
      <c r="CV47" s="192" t="s">
        <v>316</v>
      </c>
      <c r="CW47" s="192" t="s">
        <v>316</v>
      </c>
      <c r="CX47" s="192" t="s">
        <v>316</v>
      </c>
      <c r="CY47" s="192" t="s">
        <v>316</v>
      </c>
      <c r="CZ47" s="192" t="s">
        <v>316</v>
      </c>
      <c r="DA47" s="192" t="s">
        <v>316</v>
      </c>
      <c r="DB47" s="192" t="s">
        <v>316</v>
      </c>
      <c r="DC47" s="192" t="s">
        <v>316</v>
      </c>
      <c r="DD47" s="192" t="s">
        <v>316</v>
      </c>
      <c r="DE47" s="192" t="s">
        <v>316</v>
      </c>
      <c r="DF47" s="192" t="s">
        <v>316</v>
      </c>
      <c r="DG47" s="192" t="s">
        <v>316</v>
      </c>
      <c r="DH47" s="192" t="s">
        <v>316</v>
      </c>
      <c r="DI47" s="192" t="s">
        <v>316</v>
      </c>
      <c r="DJ47" s="192" t="s">
        <v>316</v>
      </c>
      <c r="DK47" s="192" t="s">
        <v>316</v>
      </c>
      <c r="DL47" s="192" t="s">
        <v>316</v>
      </c>
      <c r="DM47" s="192" t="s">
        <v>316</v>
      </c>
      <c r="DN47" s="192" t="s">
        <v>316</v>
      </c>
      <c r="DO47" s="192" t="s">
        <v>316</v>
      </c>
      <c r="DP47" s="192" t="s">
        <v>316</v>
      </c>
      <c r="DQ47" s="192" t="s">
        <v>316</v>
      </c>
      <c r="DR47" s="192" t="s">
        <v>316</v>
      </c>
      <c r="DS47" s="192" t="s">
        <v>316</v>
      </c>
      <c r="DT47" s="192" t="s">
        <v>316</v>
      </c>
      <c r="DU47" s="192" t="s">
        <v>316</v>
      </c>
      <c r="DV47" s="192" t="s">
        <v>316</v>
      </c>
      <c r="DW47" s="192" t="s">
        <v>316</v>
      </c>
      <c r="DX47" s="192" t="s">
        <v>316</v>
      </c>
      <c r="DY47" s="192" t="s">
        <v>316</v>
      </c>
      <c r="DZ47" s="192" t="s">
        <v>316</v>
      </c>
      <c r="EA47" s="192" t="s">
        <v>316</v>
      </c>
      <c r="EB47" s="192" t="s">
        <v>316</v>
      </c>
      <c r="EC47" s="192" t="s">
        <v>29</v>
      </c>
      <c r="ED47" s="192" t="s">
        <v>29</v>
      </c>
      <c r="EE47" s="192" t="s">
        <v>29</v>
      </c>
      <c r="EF47" s="192" t="s">
        <v>29</v>
      </c>
      <c r="EG47" s="192" t="s">
        <v>29</v>
      </c>
      <c r="EH47" s="192" t="s">
        <v>29</v>
      </c>
      <c r="EI47" s="192" t="s">
        <v>29</v>
      </c>
      <c r="EJ47" s="192" t="s">
        <v>29</v>
      </c>
      <c r="EK47" s="192" t="s">
        <v>29</v>
      </c>
      <c r="EL47" s="192" t="s">
        <v>29</v>
      </c>
      <c r="EM47" s="192" t="s">
        <v>29</v>
      </c>
      <c r="EN47" s="192" t="s">
        <v>29</v>
      </c>
    </row>
    <row r="48" spans="1:146" ht="15">
      <c r="A48" s="187" t="str">
        <f t="shared" si="0"/>
        <v>MIZPP10613693620A</v>
      </c>
      <c r="B48" s="197" t="s">
        <v>530</v>
      </c>
      <c r="C48" s="198" t="s">
        <v>226</v>
      </c>
      <c r="D48" s="199" t="s">
        <v>245</v>
      </c>
      <c r="E48" s="199">
        <v>13693620</v>
      </c>
      <c r="F48" s="199" t="s">
        <v>258</v>
      </c>
      <c r="G48" s="187"/>
      <c r="H48" s="198"/>
      <c r="I48" s="187"/>
      <c r="J48" s="187"/>
      <c r="K48" s="187"/>
      <c r="L48" s="200"/>
      <c r="M48" s="199" t="s">
        <v>258</v>
      </c>
      <c r="N48" s="198"/>
      <c r="O48" s="200"/>
      <c r="P48" s="198"/>
      <c r="Q48" s="199" t="s">
        <v>275</v>
      </c>
      <c r="R48" s="187"/>
      <c r="S48" s="198"/>
      <c r="T48" s="198"/>
      <c r="U48" s="187"/>
      <c r="V48" s="187"/>
      <c r="W48" s="187"/>
      <c r="X48" s="187"/>
      <c r="Y48" s="199" t="s">
        <v>580</v>
      </c>
      <c r="Z48" s="201">
        <v>262000</v>
      </c>
      <c r="AA48" s="201">
        <v>10000</v>
      </c>
      <c r="AB48" s="193">
        <f t="shared" si="1"/>
        <v>272000</v>
      </c>
      <c r="AC48" s="201">
        <v>0</v>
      </c>
      <c r="AD48" s="201">
        <v>0</v>
      </c>
      <c r="AE48" s="193">
        <f t="shared" si="2"/>
        <v>0</v>
      </c>
      <c r="AF48" s="201">
        <v>8000</v>
      </c>
      <c r="AG48" s="196"/>
      <c r="AH48" s="187"/>
      <c r="AI48" s="187"/>
      <c r="AJ48" s="187"/>
      <c r="AK48" s="193">
        <f t="shared" si="3"/>
        <v>8000</v>
      </c>
      <c r="AL48" s="199" t="s">
        <v>29</v>
      </c>
      <c r="AM48" s="199" t="s">
        <v>29</v>
      </c>
      <c r="AN48" s="199" t="s">
        <v>29</v>
      </c>
      <c r="AO48" s="199" t="s">
        <v>29</v>
      </c>
      <c r="AP48" s="193"/>
      <c r="AQ48" s="201">
        <v>0</v>
      </c>
      <c r="AR48" s="201">
        <v>0</v>
      </c>
      <c r="AS48" s="201">
        <v>0</v>
      </c>
      <c r="AT48" s="201">
        <v>10000</v>
      </c>
      <c r="AU48" s="201">
        <v>0</v>
      </c>
      <c r="AV48" s="201">
        <v>0</v>
      </c>
      <c r="AW48" s="201">
        <v>0</v>
      </c>
      <c r="AX48" s="201">
        <v>0</v>
      </c>
      <c r="AY48" s="199" t="s">
        <v>706</v>
      </c>
      <c r="AZ48" s="199">
        <v>10000</v>
      </c>
      <c r="BA48" s="199" t="s">
        <v>29</v>
      </c>
      <c r="BB48" s="199" t="s">
        <v>29</v>
      </c>
      <c r="BC48" s="199" t="s">
        <v>29</v>
      </c>
      <c r="BD48" s="199" t="s">
        <v>29</v>
      </c>
      <c r="BE48" s="199" t="s">
        <v>29</v>
      </c>
      <c r="BF48" s="199" t="s">
        <v>29</v>
      </c>
      <c r="BG48" s="199" t="s">
        <v>29</v>
      </c>
      <c r="BH48" s="199" t="s">
        <v>29</v>
      </c>
      <c r="BI48" s="199" t="s">
        <v>29</v>
      </c>
      <c r="BJ48" s="199" t="s">
        <v>29</v>
      </c>
      <c r="BK48" s="199" t="s">
        <v>29</v>
      </c>
      <c r="BL48" s="199" t="s">
        <v>29</v>
      </c>
      <c r="BM48" s="199" t="s">
        <v>29</v>
      </c>
      <c r="BN48" s="199" t="s">
        <v>29</v>
      </c>
      <c r="BO48" s="199" t="s">
        <v>29</v>
      </c>
      <c r="BP48" s="199" t="s">
        <v>29</v>
      </c>
      <c r="BQ48" s="193"/>
      <c r="BR48" s="187">
        <v>0</v>
      </c>
      <c r="BS48" s="202">
        <v>300000</v>
      </c>
      <c r="BT48" s="199">
        <v>163316</v>
      </c>
      <c r="BU48" s="192" t="s">
        <v>455</v>
      </c>
      <c r="BV48" s="192" t="s">
        <v>97</v>
      </c>
      <c r="BW48" s="192">
        <v>1</v>
      </c>
      <c r="BX48" s="192" t="s">
        <v>466</v>
      </c>
      <c r="BY48" s="192" t="s">
        <v>1021</v>
      </c>
      <c r="BZ48" s="192" t="s">
        <v>489</v>
      </c>
      <c r="CA48" s="192">
        <v>10</v>
      </c>
      <c r="CB48" s="192" t="s">
        <v>488</v>
      </c>
      <c r="CC48" s="192" t="s">
        <v>1033</v>
      </c>
      <c r="CD48" s="192" t="s">
        <v>777</v>
      </c>
      <c r="CE48" s="192">
        <v>3</v>
      </c>
      <c r="CF48" s="192" t="s">
        <v>138</v>
      </c>
      <c r="CG48" s="192" t="s">
        <v>1021</v>
      </c>
      <c r="CH48" s="192" t="s">
        <v>489</v>
      </c>
      <c r="CI48" s="192">
        <v>50</v>
      </c>
      <c r="CJ48" s="192" t="s">
        <v>418</v>
      </c>
      <c r="CK48" s="192" t="s">
        <v>1034</v>
      </c>
      <c r="CL48" s="192" t="s">
        <v>97</v>
      </c>
      <c r="CM48" s="192">
        <v>1</v>
      </c>
      <c r="CN48" s="192" t="s">
        <v>137</v>
      </c>
      <c r="CO48" s="192" t="s">
        <v>1034</v>
      </c>
      <c r="CP48" s="192" t="s">
        <v>416</v>
      </c>
      <c r="CQ48" s="192">
        <v>100</v>
      </c>
      <c r="CR48" s="192" t="s">
        <v>733</v>
      </c>
      <c r="CS48" s="192" t="s">
        <v>316</v>
      </c>
      <c r="CT48" s="192" t="s">
        <v>316</v>
      </c>
      <c r="CU48" s="192" t="s">
        <v>316</v>
      </c>
      <c r="CV48" s="192" t="s">
        <v>316</v>
      </c>
      <c r="CW48" s="192" t="s">
        <v>316</v>
      </c>
      <c r="CX48" s="192" t="s">
        <v>316</v>
      </c>
      <c r="CY48" s="192" t="s">
        <v>316</v>
      </c>
      <c r="CZ48" s="192" t="s">
        <v>316</v>
      </c>
      <c r="DA48" s="192" t="s">
        <v>316</v>
      </c>
      <c r="DB48" s="192" t="s">
        <v>316</v>
      </c>
      <c r="DC48" s="192" t="s">
        <v>316</v>
      </c>
      <c r="DD48" s="192" t="s">
        <v>316</v>
      </c>
      <c r="DE48" s="192" t="s">
        <v>316</v>
      </c>
      <c r="DF48" s="192" t="s">
        <v>316</v>
      </c>
      <c r="DG48" s="192" t="s">
        <v>316</v>
      </c>
      <c r="DH48" s="192" t="s">
        <v>316</v>
      </c>
      <c r="DI48" s="192" t="s">
        <v>316</v>
      </c>
      <c r="DJ48" s="192" t="s">
        <v>316</v>
      </c>
      <c r="DK48" s="192" t="s">
        <v>316</v>
      </c>
      <c r="DL48" s="192" t="s">
        <v>316</v>
      </c>
      <c r="DM48" s="192" t="s">
        <v>316</v>
      </c>
      <c r="DN48" s="192" t="s">
        <v>316</v>
      </c>
      <c r="DO48" s="192" t="s">
        <v>316</v>
      </c>
      <c r="DP48" s="192" t="s">
        <v>316</v>
      </c>
      <c r="DQ48" s="192" t="s">
        <v>316</v>
      </c>
      <c r="DR48" s="192" t="s">
        <v>316</v>
      </c>
      <c r="DS48" s="192" t="s">
        <v>316</v>
      </c>
      <c r="DT48" s="192" t="s">
        <v>316</v>
      </c>
      <c r="DU48" s="192" t="s">
        <v>316</v>
      </c>
      <c r="DV48" s="192" t="s">
        <v>316</v>
      </c>
      <c r="DW48" s="192" t="s">
        <v>316</v>
      </c>
      <c r="DX48" s="192" t="s">
        <v>316</v>
      </c>
      <c r="DY48" s="192" t="s">
        <v>316</v>
      </c>
      <c r="DZ48" s="192" t="s">
        <v>316</v>
      </c>
      <c r="EA48" s="192" t="s">
        <v>316</v>
      </c>
      <c r="EB48" s="192" t="s">
        <v>316</v>
      </c>
      <c r="EC48" s="192" t="s">
        <v>29</v>
      </c>
      <c r="ED48" s="192" t="s">
        <v>29</v>
      </c>
      <c r="EE48" s="192" t="s">
        <v>29</v>
      </c>
      <c r="EF48" s="192" t="s">
        <v>29</v>
      </c>
      <c r="EG48" s="192" t="s">
        <v>29</v>
      </c>
      <c r="EH48" s="192" t="s">
        <v>29</v>
      </c>
      <c r="EI48" s="192" t="s">
        <v>29</v>
      </c>
      <c r="EJ48" s="192" t="s">
        <v>29</v>
      </c>
      <c r="EK48" s="192" t="s">
        <v>29</v>
      </c>
      <c r="EL48" s="192" t="s">
        <v>29</v>
      </c>
      <c r="EM48" s="192" t="s">
        <v>29</v>
      </c>
      <c r="EN48" s="192" t="s">
        <v>29</v>
      </c>
    </row>
    <row r="49" spans="1:144" ht="15">
      <c r="A49" s="187" t="str">
        <f t="shared" si="0"/>
        <v>MIZPP10815547779A</v>
      </c>
      <c r="B49" s="197" t="s">
        <v>531</v>
      </c>
      <c r="C49" s="198" t="s">
        <v>226</v>
      </c>
      <c r="D49" s="199" t="s">
        <v>1111</v>
      </c>
      <c r="E49" s="199">
        <v>15547779</v>
      </c>
      <c r="F49" s="199" t="s">
        <v>618</v>
      </c>
      <c r="G49" s="187"/>
      <c r="H49" s="198"/>
      <c r="I49" s="187"/>
      <c r="J49" s="187"/>
      <c r="K49" s="187"/>
      <c r="L49" s="200"/>
      <c r="M49" s="199" t="s">
        <v>618</v>
      </c>
      <c r="N49" s="198"/>
      <c r="O49" s="200"/>
      <c r="P49" s="198"/>
      <c r="Q49" s="199" t="s">
        <v>635</v>
      </c>
      <c r="R49" s="187"/>
      <c r="S49" s="198"/>
      <c r="T49" s="198"/>
      <c r="U49" s="187"/>
      <c r="V49" s="187"/>
      <c r="W49" s="187"/>
      <c r="X49" s="187"/>
      <c r="Y49" s="199" t="s">
        <v>581</v>
      </c>
      <c r="Z49" s="201">
        <v>180397</v>
      </c>
      <c r="AA49" s="201">
        <v>0</v>
      </c>
      <c r="AB49" s="193">
        <f t="shared" si="1"/>
        <v>180397</v>
      </c>
      <c r="AC49" s="201">
        <v>5700</v>
      </c>
      <c r="AD49" s="201">
        <v>0</v>
      </c>
      <c r="AE49" s="193">
        <f t="shared" si="2"/>
        <v>5700</v>
      </c>
      <c r="AF49" s="201">
        <v>3000</v>
      </c>
      <c r="AG49" s="196"/>
      <c r="AH49" s="187"/>
      <c r="AI49" s="187"/>
      <c r="AJ49" s="187"/>
      <c r="AK49" s="193">
        <f t="shared" si="3"/>
        <v>3000</v>
      </c>
      <c r="AL49" s="199" t="s">
        <v>29</v>
      </c>
      <c r="AM49" s="199" t="s">
        <v>29</v>
      </c>
      <c r="AN49" s="199" t="s">
        <v>29</v>
      </c>
      <c r="AO49" s="199" t="s">
        <v>29</v>
      </c>
      <c r="AP49" s="193"/>
      <c r="AQ49" s="201">
        <v>0</v>
      </c>
      <c r="AR49" s="201">
        <v>0</v>
      </c>
      <c r="AS49" s="201">
        <v>0</v>
      </c>
      <c r="AT49" s="201">
        <v>1300</v>
      </c>
      <c r="AU49" s="201">
        <v>0</v>
      </c>
      <c r="AV49" s="201">
        <v>600</v>
      </c>
      <c r="AW49" s="201">
        <v>0</v>
      </c>
      <c r="AX49" s="201">
        <v>0</v>
      </c>
      <c r="AY49" s="199" t="s">
        <v>100</v>
      </c>
      <c r="AZ49" s="199">
        <v>6000</v>
      </c>
      <c r="BA49" s="199" t="s">
        <v>707</v>
      </c>
      <c r="BB49" s="199">
        <v>18000</v>
      </c>
      <c r="BC49" s="199" t="s">
        <v>708</v>
      </c>
      <c r="BD49" s="199">
        <v>30000</v>
      </c>
      <c r="BE49" s="199" t="s">
        <v>29</v>
      </c>
      <c r="BF49" s="199" t="s">
        <v>29</v>
      </c>
      <c r="BG49" s="199" t="s">
        <v>29</v>
      </c>
      <c r="BH49" s="199" t="s">
        <v>29</v>
      </c>
      <c r="BI49" s="199" t="s">
        <v>29</v>
      </c>
      <c r="BJ49" s="199" t="s">
        <v>29</v>
      </c>
      <c r="BK49" s="199" t="s">
        <v>29</v>
      </c>
      <c r="BL49" s="199" t="s">
        <v>29</v>
      </c>
      <c r="BM49" s="199" t="s">
        <v>29</v>
      </c>
      <c r="BN49" s="199" t="s">
        <v>29</v>
      </c>
      <c r="BO49" s="199" t="s">
        <v>29</v>
      </c>
      <c r="BP49" s="199" t="s">
        <v>29</v>
      </c>
      <c r="BQ49" s="193"/>
      <c r="BR49" s="187">
        <v>55000</v>
      </c>
      <c r="BS49" s="202">
        <v>299997</v>
      </c>
      <c r="BT49" s="199">
        <v>136123</v>
      </c>
      <c r="BU49" s="192" t="s">
        <v>1035</v>
      </c>
      <c r="BV49" s="192" t="s">
        <v>735</v>
      </c>
      <c r="BW49" s="192">
        <v>3</v>
      </c>
      <c r="BX49" s="192" t="s">
        <v>423</v>
      </c>
      <c r="BY49" s="192" t="s">
        <v>139</v>
      </c>
      <c r="BZ49" s="192" t="s">
        <v>144</v>
      </c>
      <c r="CA49" s="192">
        <v>6</v>
      </c>
      <c r="CB49" s="192" t="s">
        <v>139</v>
      </c>
      <c r="CC49" s="192" t="s">
        <v>1036</v>
      </c>
      <c r="CD49" s="192" t="s">
        <v>725</v>
      </c>
      <c r="CE49" s="192">
        <v>48</v>
      </c>
      <c r="CF49" s="192" t="s">
        <v>726</v>
      </c>
      <c r="CG49" s="192" t="s">
        <v>1037</v>
      </c>
      <c r="CH49" s="192" t="s">
        <v>97</v>
      </c>
      <c r="CI49" s="192">
        <v>3</v>
      </c>
      <c r="CJ49" s="192" t="s">
        <v>137</v>
      </c>
      <c r="CK49" s="192" t="s">
        <v>1038</v>
      </c>
      <c r="CL49" s="192" t="s">
        <v>416</v>
      </c>
      <c r="CM49" s="192">
        <v>41400</v>
      </c>
      <c r="CN49" s="192" t="s">
        <v>733</v>
      </c>
      <c r="CO49" s="192" t="s">
        <v>863</v>
      </c>
      <c r="CP49" s="192" t="s">
        <v>97</v>
      </c>
      <c r="CQ49" s="192">
        <v>3</v>
      </c>
      <c r="CR49" s="192" t="s">
        <v>134</v>
      </c>
      <c r="CS49" s="192" t="s">
        <v>1039</v>
      </c>
      <c r="CT49" s="192" t="s">
        <v>749</v>
      </c>
      <c r="CU49" s="192">
        <v>35000</v>
      </c>
      <c r="CV49" s="192" t="s">
        <v>730</v>
      </c>
      <c r="CW49" s="192" t="s">
        <v>1040</v>
      </c>
      <c r="CX49" s="192" t="s">
        <v>97</v>
      </c>
      <c r="CY49" s="192">
        <v>1</v>
      </c>
      <c r="CZ49" s="192" t="s">
        <v>137</v>
      </c>
      <c r="DA49" s="192" t="s">
        <v>1041</v>
      </c>
      <c r="DB49" s="192" t="s">
        <v>416</v>
      </c>
      <c r="DC49" s="192">
        <v>6400</v>
      </c>
      <c r="DD49" s="192" t="s">
        <v>733</v>
      </c>
      <c r="DE49" s="192" t="s">
        <v>316</v>
      </c>
      <c r="DF49" s="192" t="s">
        <v>316</v>
      </c>
      <c r="DG49" s="192" t="s">
        <v>316</v>
      </c>
      <c r="DH49" s="192" t="s">
        <v>316</v>
      </c>
      <c r="DI49" s="192" t="s">
        <v>316</v>
      </c>
      <c r="DJ49" s="192" t="s">
        <v>316</v>
      </c>
      <c r="DK49" s="192" t="s">
        <v>316</v>
      </c>
      <c r="DL49" s="192" t="s">
        <v>316</v>
      </c>
      <c r="DM49" s="192" t="s">
        <v>316</v>
      </c>
      <c r="DN49" s="192" t="s">
        <v>316</v>
      </c>
      <c r="DO49" s="192" t="s">
        <v>316</v>
      </c>
      <c r="DP49" s="192" t="s">
        <v>316</v>
      </c>
      <c r="DQ49" s="192" t="s">
        <v>316</v>
      </c>
      <c r="DR49" s="192" t="s">
        <v>316</v>
      </c>
      <c r="DS49" s="192" t="s">
        <v>316</v>
      </c>
      <c r="DT49" s="192" t="s">
        <v>316</v>
      </c>
      <c r="DU49" s="192" t="s">
        <v>316</v>
      </c>
      <c r="DV49" s="192" t="s">
        <v>316</v>
      </c>
      <c r="DW49" s="192" t="s">
        <v>316</v>
      </c>
      <c r="DX49" s="192" t="s">
        <v>316</v>
      </c>
      <c r="DY49" s="192" t="s">
        <v>316</v>
      </c>
      <c r="DZ49" s="192" t="s">
        <v>316</v>
      </c>
      <c r="EA49" s="192" t="s">
        <v>316</v>
      </c>
      <c r="EB49" s="192" t="s">
        <v>316</v>
      </c>
      <c r="EC49" s="192" t="s">
        <v>29</v>
      </c>
      <c r="ED49" s="192" t="s">
        <v>29</v>
      </c>
      <c r="EE49" s="192" t="s">
        <v>29</v>
      </c>
      <c r="EF49" s="192" t="s">
        <v>29</v>
      </c>
      <c r="EG49" s="192" t="s">
        <v>29</v>
      </c>
      <c r="EH49" s="192" t="s">
        <v>29</v>
      </c>
      <c r="EI49" s="192" t="s">
        <v>29</v>
      </c>
      <c r="EJ49" s="192" t="s">
        <v>29</v>
      </c>
      <c r="EK49" s="192" t="s">
        <v>29</v>
      </c>
      <c r="EL49" s="192" t="s">
        <v>29</v>
      </c>
      <c r="EM49" s="192" t="s">
        <v>29</v>
      </c>
      <c r="EN49" s="192" t="s">
        <v>29</v>
      </c>
    </row>
    <row r="50" spans="1:144" ht="15">
      <c r="A50" s="187" t="str">
        <f t="shared" si="0"/>
        <v>MIZPP10910873074A</v>
      </c>
      <c r="B50" s="197" t="s">
        <v>176</v>
      </c>
      <c r="C50" s="198" t="s">
        <v>226</v>
      </c>
      <c r="D50" s="199" t="s">
        <v>1112</v>
      </c>
      <c r="E50" s="199">
        <v>10873074</v>
      </c>
      <c r="F50" s="199" t="s">
        <v>619</v>
      </c>
      <c r="G50" s="187"/>
      <c r="H50" s="198"/>
      <c r="I50" s="187"/>
      <c r="J50" s="187"/>
      <c r="K50" s="187"/>
      <c r="L50" s="200"/>
      <c r="M50" s="199" t="s">
        <v>619</v>
      </c>
      <c r="N50" s="198"/>
      <c r="O50" s="200"/>
      <c r="P50" s="198"/>
      <c r="Q50" s="199" t="s">
        <v>261</v>
      </c>
      <c r="R50" s="187"/>
      <c r="S50" s="198"/>
      <c r="T50" s="198"/>
      <c r="U50" s="187"/>
      <c r="V50" s="187"/>
      <c r="W50" s="187"/>
      <c r="X50" s="187"/>
      <c r="Y50" s="199" t="s">
        <v>582</v>
      </c>
      <c r="Z50" s="201">
        <v>0</v>
      </c>
      <c r="AA50" s="201">
        <v>120000</v>
      </c>
      <c r="AB50" s="193">
        <f t="shared" si="1"/>
        <v>120000</v>
      </c>
      <c r="AC50" s="201">
        <v>17000</v>
      </c>
      <c r="AD50" s="201">
        <v>0</v>
      </c>
      <c r="AE50" s="193">
        <f t="shared" si="2"/>
        <v>17000</v>
      </c>
      <c r="AF50" s="201">
        <v>0</v>
      </c>
      <c r="AG50" s="196"/>
      <c r="AH50" s="187"/>
      <c r="AI50" s="187"/>
      <c r="AJ50" s="187"/>
      <c r="AK50" s="193">
        <f t="shared" si="3"/>
        <v>0</v>
      </c>
      <c r="AL50" s="199" t="s">
        <v>29</v>
      </c>
      <c r="AM50" s="199" t="s">
        <v>29</v>
      </c>
      <c r="AN50" s="199" t="s">
        <v>29</v>
      </c>
      <c r="AO50" s="199" t="s">
        <v>29</v>
      </c>
      <c r="AP50" s="193"/>
      <c r="AQ50" s="201">
        <v>20000</v>
      </c>
      <c r="AR50" s="201">
        <v>30000</v>
      </c>
      <c r="AS50" s="201">
        <v>0</v>
      </c>
      <c r="AT50" s="201">
        <v>0</v>
      </c>
      <c r="AU50" s="201">
        <v>0</v>
      </c>
      <c r="AV50" s="201">
        <v>21000</v>
      </c>
      <c r="AW50" s="201">
        <v>0</v>
      </c>
      <c r="AX50" s="201">
        <v>7000</v>
      </c>
      <c r="AY50" s="199" t="s">
        <v>709</v>
      </c>
      <c r="AZ50" s="199">
        <v>60000</v>
      </c>
      <c r="BA50" s="199" t="s">
        <v>29</v>
      </c>
      <c r="BB50" s="199" t="s">
        <v>29</v>
      </c>
      <c r="BC50" s="199" t="s">
        <v>29</v>
      </c>
      <c r="BD50" s="199" t="s">
        <v>29</v>
      </c>
      <c r="BE50" s="199" t="s">
        <v>29</v>
      </c>
      <c r="BF50" s="199" t="s">
        <v>29</v>
      </c>
      <c r="BG50" s="199" t="s">
        <v>29</v>
      </c>
      <c r="BH50" s="199" t="s">
        <v>29</v>
      </c>
      <c r="BI50" s="199" t="s">
        <v>29</v>
      </c>
      <c r="BJ50" s="199" t="s">
        <v>29</v>
      </c>
      <c r="BK50" s="199" t="s">
        <v>29</v>
      </c>
      <c r="BL50" s="199" t="s">
        <v>29</v>
      </c>
      <c r="BM50" s="199" t="s">
        <v>29</v>
      </c>
      <c r="BN50" s="199" t="s">
        <v>29</v>
      </c>
      <c r="BO50" s="199" t="s">
        <v>29</v>
      </c>
      <c r="BP50" s="199" t="s">
        <v>29</v>
      </c>
      <c r="BQ50" s="193"/>
      <c r="BR50" s="187">
        <v>20000</v>
      </c>
      <c r="BS50" s="202">
        <v>295000</v>
      </c>
      <c r="BT50" s="199">
        <v>127000</v>
      </c>
      <c r="BU50" s="192" t="s">
        <v>195</v>
      </c>
      <c r="BV50" s="192" t="s">
        <v>97</v>
      </c>
      <c r="BW50" s="192">
        <v>5</v>
      </c>
      <c r="BX50" s="192" t="s">
        <v>466</v>
      </c>
      <c r="BY50" s="192" t="s">
        <v>427</v>
      </c>
      <c r="BZ50" s="192" t="s">
        <v>489</v>
      </c>
      <c r="CA50" s="192">
        <v>50</v>
      </c>
      <c r="CB50" s="192" t="s">
        <v>488</v>
      </c>
      <c r="CC50" s="192" t="s">
        <v>1042</v>
      </c>
      <c r="CD50" s="192" t="s">
        <v>97</v>
      </c>
      <c r="CE50" s="192">
        <v>8</v>
      </c>
      <c r="CF50" s="192" t="s">
        <v>466</v>
      </c>
      <c r="CG50" s="192" t="s">
        <v>1043</v>
      </c>
      <c r="CH50" s="192" t="s">
        <v>489</v>
      </c>
      <c r="CI50" s="192">
        <v>7</v>
      </c>
      <c r="CJ50" s="192" t="s">
        <v>488</v>
      </c>
      <c r="CK50" s="192" t="s">
        <v>1044</v>
      </c>
      <c r="CL50" s="192" t="s">
        <v>97</v>
      </c>
      <c r="CM50" s="192">
        <v>2</v>
      </c>
      <c r="CN50" s="192" t="s">
        <v>466</v>
      </c>
      <c r="CO50" s="192" t="s">
        <v>1045</v>
      </c>
      <c r="CP50" s="192" t="s">
        <v>489</v>
      </c>
      <c r="CQ50" s="192">
        <v>10</v>
      </c>
      <c r="CR50" s="192" t="s">
        <v>488</v>
      </c>
      <c r="CS50" s="192" t="s">
        <v>707</v>
      </c>
      <c r="CT50" s="192" t="s">
        <v>97</v>
      </c>
      <c r="CU50" s="192">
        <v>30</v>
      </c>
      <c r="CV50" s="192" t="s">
        <v>134</v>
      </c>
      <c r="CW50" s="192" t="s">
        <v>812</v>
      </c>
      <c r="CX50" s="192" t="s">
        <v>729</v>
      </c>
      <c r="CY50" s="192">
        <v>350</v>
      </c>
      <c r="CZ50" s="192" t="s">
        <v>730</v>
      </c>
      <c r="DA50" s="192" t="s">
        <v>316</v>
      </c>
      <c r="DB50" s="192" t="s">
        <v>316</v>
      </c>
      <c r="DC50" s="192" t="s">
        <v>316</v>
      </c>
      <c r="DD50" s="192" t="s">
        <v>316</v>
      </c>
      <c r="DE50" s="192" t="s">
        <v>316</v>
      </c>
      <c r="DF50" s="192" t="s">
        <v>316</v>
      </c>
      <c r="DG50" s="192" t="s">
        <v>316</v>
      </c>
      <c r="DH50" s="192" t="s">
        <v>316</v>
      </c>
      <c r="DI50" s="192" t="s">
        <v>316</v>
      </c>
      <c r="DJ50" s="192" t="s">
        <v>316</v>
      </c>
      <c r="DK50" s="192" t="s">
        <v>316</v>
      </c>
      <c r="DL50" s="192" t="s">
        <v>316</v>
      </c>
      <c r="DM50" s="192" t="s">
        <v>316</v>
      </c>
      <c r="DN50" s="192" t="s">
        <v>316</v>
      </c>
      <c r="DO50" s="192" t="s">
        <v>316</v>
      </c>
      <c r="DP50" s="192" t="s">
        <v>316</v>
      </c>
      <c r="DQ50" s="192" t="s">
        <v>316</v>
      </c>
      <c r="DR50" s="192" t="s">
        <v>316</v>
      </c>
      <c r="DS50" s="192" t="s">
        <v>316</v>
      </c>
      <c r="DT50" s="192" t="s">
        <v>316</v>
      </c>
      <c r="DU50" s="192" t="s">
        <v>316</v>
      </c>
      <c r="DV50" s="192" t="s">
        <v>316</v>
      </c>
      <c r="DW50" s="192" t="s">
        <v>316</v>
      </c>
      <c r="DX50" s="192" t="s">
        <v>316</v>
      </c>
      <c r="DY50" s="192" t="s">
        <v>316</v>
      </c>
      <c r="DZ50" s="192" t="s">
        <v>316</v>
      </c>
      <c r="EA50" s="192" t="s">
        <v>316</v>
      </c>
      <c r="EB50" s="192" t="s">
        <v>316</v>
      </c>
      <c r="EC50" s="192" t="s">
        <v>29</v>
      </c>
      <c r="ED50" s="192" t="s">
        <v>29</v>
      </c>
      <c r="EE50" s="192" t="s">
        <v>29</v>
      </c>
      <c r="EF50" s="192" t="s">
        <v>29</v>
      </c>
      <c r="EG50" s="192" t="s">
        <v>29</v>
      </c>
      <c r="EH50" s="192" t="s">
        <v>29</v>
      </c>
      <c r="EI50" s="192" t="s">
        <v>29</v>
      </c>
      <c r="EJ50" s="192" t="s">
        <v>29</v>
      </c>
      <c r="EK50" s="192" t="s">
        <v>29</v>
      </c>
      <c r="EL50" s="192" t="s">
        <v>29</v>
      </c>
      <c r="EM50" s="192" t="s">
        <v>29</v>
      </c>
      <c r="EN50" s="192" t="s">
        <v>29</v>
      </c>
    </row>
    <row r="51" spans="1:144" ht="15">
      <c r="A51" s="187" t="str">
        <f t="shared" si="0"/>
        <v>MIZPP11014888009A</v>
      </c>
      <c r="B51" s="197" t="s">
        <v>532</v>
      </c>
      <c r="C51" s="198" t="s">
        <v>226</v>
      </c>
      <c r="D51" s="199" t="s">
        <v>1106</v>
      </c>
      <c r="E51" s="199">
        <v>14888009</v>
      </c>
      <c r="F51" s="199" t="s">
        <v>614</v>
      </c>
      <c r="G51" s="187"/>
      <c r="H51" s="198"/>
      <c r="I51" s="187"/>
      <c r="J51" s="187"/>
      <c r="K51" s="187"/>
      <c r="L51" s="200"/>
      <c r="M51" s="199" t="s">
        <v>614</v>
      </c>
      <c r="N51" s="198"/>
      <c r="O51" s="200"/>
      <c r="P51" s="198"/>
      <c r="Q51" s="199" t="s">
        <v>276</v>
      </c>
      <c r="R51" s="187"/>
      <c r="S51" s="198"/>
      <c r="T51" s="198"/>
      <c r="U51" s="187"/>
      <c r="V51" s="187"/>
      <c r="W51" s="187"/>
      <c r="X51" s="187"/>
      <c r="Y51" s="199" t="s">
        <v>583</v>
      </c>
      <c r="Z51" s="201">
        <v>40000</v>
      </c>
      <c r="AA51" s="201">
        <v>0</v>
      </c>
      <c r="AB51" s="193">
        <f t="shared" si="1"/>
        <v>40000</v>
      </c>
      <c r="AC51" s="201">
        <v>0</v>
      </c>
      <c r="AD51" s="201">
        <v>0</v>
      </c>
      <c r="AE51" s="193">
        <f t="shared" si="2"/>
        <v>0</v>
      </c>
      <c r="AF51" s="201">
        <v>0</v>
      </c>
      <c r="AG51" s="196"/>
      <c r="AH51" s="187"/>
      <c r="AI51" s="187"/>
      <c r="AJ51" s="187"/>
      <c r="AK51" s="193">
        <f t="shared" si="3"/>
        <v>0</v>
      </c>
      <c r="AL51" s="199" t="s">
        <v>29</v>
      </c>
      <c r="AM51" s="199" t="s">
        <v>29</v>
      </c>
      <c r="AN51" s="199" t="s">
        <v>29</v>
      </c>
      <c r="AO51" s="199" t="s">
        <v>29</v>
      </c>
      <c r="AP51" s="193"/>
      <c r="AQ51" s="201">
        <v>0</v>
      </c>
      <c r="AR51" s="201">
        <v>0</v>
      </c>
      <c r="AS51" s="201">
        <v>0</v>
      </c>
      <c r="AT51" s="201">
        <v>0</v>
      </c>
      <c r="AU51" s="201">
        <v>0</v>
      </c>
      <c r="AV51" s="201">
        <v>60000</v>
      </c>
      <c r="AW51" s="201">
        <v>0</v>
      </c>
      <c r="AX51" s="201">
        <v>0</v>
      </c>
      <c r="AY51" s="199" t="s">
        <v>710</v>
      </c>
      <c r="AZ51" s="199">
        <v>200000</v>
      </c>
      <c r="BA51" s="199" t="s">
        <v>29</v>
      </c>
      <c r="BB51" s="199" t="s">
        <v>29</v>
      </c>
      <c r="BC51" s="199" t="s">
        <v>29</v>
      </c>
      <c r="BD51" s="199" t="s">
        <v>29</v>
      </c>
      <c r="BE51" s="199" t="s">
        <v>29</v>
      </c>
      <c r="BF51" s="199" t="s">
        <v>29</v>
      </c>
      <c r="BG51" s="199" t="s">
        <v>29</v>
      </c>
      <c r="BH51" s="199" t="s">
        <v>29</v>
      </c>
      <c r="BI51" s="199" t="s">
        <v>29</v>
      </c>
      <c r="BJ51" s="199" t="s">
        <v>29</v>
      </c>
      <c r="BK51" s="199" t="s">
        <v>29</v>
      </c>
      <c r="BL51" s="199" t="s">
        <v>29</v>
      </c>
      <c r="BM51" s="199" t="s">
        <v>29</v>
      </c>
      <c r="BN51" s="199" t="s">
        <v>29</v>
      </c>
      <c r="BO51" s="199" t="s">
        <v>29</v>
      </c>
      <c r="BP51" s="199" t="s">
        <v>29</v>
      </c>
      <c r="BQ51" s="193"/>
      <c r="BR51" s="187">
        <v>0</v>
      </c>
      <c r="BS51" s="202">
        <v>300000</v>
      </c>
      <c r="BT51" s="199">
        <v>1303000</v>
      </c>
      <c r="BU51" s="192" t="s">
        <v>1046</v>
      </c>
      <c r="BV51" s="192" t="s">
        <v>97</v>
      </c>
      <c r="BW51" s="192">
        <v>13</v>
      </c>
      <c r="BX51" s="192" t="s">
        <v>466</v>
      </c>
      <c r="BY51" s="192" t="s">
        <v>1047</v>
      </c>
      <c r="BZ51" s="192" t="s">
        <v>489</v>
      </c>
      <c r="CA51" s="192">
        <v>300</v>
      </c>
      <c r="CB51" s="192" t="s">
        <v>488</v>
      </c>
      <c r="CC51" s="192" t="s">
        <v>1048</v>
      </c>
      <c r="CD51" s="192" t="s">
        <v>97</v>
      </c>
      <c r="CE51" s="192">
        <v>2</v>
      </c>
      <c r="CF51" s="192" t="s">
        <v>137</v>
      </c>
      <c r="CG51" s="192" t="s">
        <v>1049</v>
      </c>
      <c r="CH51" s="192" t="s">
        <v>416</v>
      </c>
      <c r="CI51" s="192">
        <v>4000</v>
      </c>
      <c r="CJ51" s="192" t="s">
        <v>733</v>
      </c>
      <c r="CK51" s="192" t="s">
        <v>1050</v>
      </c>
      <c r="CL51" s="192" t="s">
        <v>97</v>
      </c>
      <c r="CM51" s="192">
        <v>3</v>
      </c>
      <c r="CN51" s="192" t="s">
        <v>137</v>
      </c>
      <c r="CO51" s="192" t="s">
        <v>1051</v>
      </c>
      <c r="CP51" s="192" t="s">
        <v>416</v>
      </c>
      <c r="CQ51" s="192">
        <v>500</v>
      </c>
      <c r="CR51" s="192" t="s">
        <v>733</v>
      </c>
      <c r="CS51" s="192" t="s">
        <v>316</v>
      </c>
      <c r="CT51" s="192" t="s">
        <v>316</v>
      </c>
      <c r="CU51" s="192" t="s">
        <v>316</v>
      </c>
      <c r="CV51" s="192" t="s">
        <v>316</v>
      </c>
      <c r="CW51" s="192" t="s">
        <v>316</v>
      </c>
      <c r="CX51" s="192" t="s">
        <v>316</v>
      </c>
      <c r="CY51" s="192" t="s">
        <v>316</v>
      </c>
      <c r="CZ51" s="192" t="s">
        <v>316</v>
      </c>
      <c r="DA51" s="192" t="s">
        <v>316</v>
      </c>
      <c r="DB51" s="192" t="s">
        <v>316</v>
      </c>
      <c r="DC51" s="192" t="s">
        <v>316</v>
      </c>
      <c r="DD51" s="192" t="s">
        <v>316</v>
      </c>
      <c r="DE51" s="192" t="s">
        <v>316</v>
      </c>
      <c r="DF51" s="192" t="s">
        <v>316</v>
      </c>
      <c r="DG51" s="192" t="s">
        <v>316</v>
      </c>
      <c r="DH51" s="192" t="s">
        <v>316</v>
      </c>
      <c r="DI51" s="192" t="s">
        <v>316</v>
      </c>
      <c r="DJ51" s="192" t="s">
        <v>316</v>
      </c>
      <c r="DK51" s="192" t="s">
        <v>316</v>
      </c>
      <c r="DL51" s="192" t="s">
        <v>316</v>
      </c>
      <c r="DM51" s="192" t="s">
        <v>316</v>
      </c>
      <c r="DN51" s="192" t="s">
        <v>316</v>
      </c>
      <c r="DO51" s="192" t="s">
        <v>316</v>
      </c>
      <c r="DP51" s="192" t="s">
        <v>316</v>
      </c>
      <c r="DQ51" s="192" t="s">
        <v>316</v>
      </c>
      <c r="DR51" s="192" t="s">
        <v>316</v>
      </c>
      <c r="DS51" s="192" t="s">
        <v>316</v>
      </c>
      <c r="DT51" s="192" t="s">
        <v>316</v>
      </c>
      <c r="DU51" s="192" t="s">
        <v>316</v>
      </c>
      <c r="DV51" s="192" t="s">
        <v>316</v>
      </c>
      <c r="DW51" s="192" t="s">
        <v>316</v>
      </c>
      <c r="DX51" s="192" t="s">
        <v>316</v>
      </c>
      <c r="DY51" s="192" t="s">
        <v>316</v>
      </c>
      <c r="DZ51" s="192" t="s">
        <v>316</v>
      </c>
      <c r="EA51" s="192" t="s">
        <v>316</v>
      </c>
      <c r="EB51" s="192" t="s">
        <v>316</v>
      </c>
      <c r="EC51" s="192" t="s">
        <v>29</v>
      </c>
      <c r="ED51" s="192" t="s">
        <v>29</v>
      </c>
      <c r="EE51" s="192" t="s">
        <v>29</v>
      </c>
      <c r="EF51" s="192" t="s">
        <v>29</v>
      </c>
      <c r="EG51" s="192" t="s">
        <v>29</v>
      </c>
      <c r="EH51" s="192" t="s">
        <v>29</v>
      </c>
      <c r="EI51" s="192" t="s">
        <v>29</v>
      </c>
      <c r="EJ51" s="192" t="s">
        <v>29</v>
      </c>
      <c r="EK51" s="192" t="s">
        <v>29</v>
      </c>
      <c r="EL51" s="192" t="s">
        <v>29</v>
      </c>
      <c r="EM51" s="192" t="s">
        <v>29</v>
      </c>
      <c r="EN51" s="192" t="s">
        <v>29</v>
      </c>
    </row>
    <row r="52" spans="1:144" ht="15">
      <c r="A52" s="187" t="str">
        <f t="shared" si="0"/>
        <v>MIZPP11210873074A</v>
      </c>
      <c r="B52" s="197" t="s">
        <v>533</v>
      </c>
      <c r="C52" s="198" t="s">
        <v>226</v>
      </c>
      <c r="D52" s="199" t="s">
        <v>1112</v>
      </c>
      <c r="E52" s="199">
        <v>10873074</v>
      </c>
      <c r="F52" s="199" t="s">
        <v>619</v>
      </c>
      <c r="G52" s="187"/>
      <c r="H52" s="198"/>
      <c r="I52" s="187"/>
      <c r="J52" s="187"/>
      <c r="K52" s="187"/>
      <c r="L52" s="200"/>
      <c r="M52" s="199" t="s">
        <v>619</v>
      </c>
      <c r="N52" s="198"/>
      <c r="O52" s="200"/>
      <c r="P52" s="198"/>
      <c r="Q52" s="199" t="s">
        <v>261</v>
      </c>
      <c r="R52" s="187"/>
      <c r="S52" s="198"/>
      <c r="T52" s="198"/>
      <c r="U52" s="187"/>
      <c r="V52" s="187"/>
      <c r="W52" s="187"/>
      <c r="X52" s="187"/>
      <c r="Y52" s="199" t="s">
        <v>584</v>
      </c>
      <c r="Z52" s="201">
        <v>0</v>
      </c>
      <c r="AA52" s="201">
        <v>60000</v>
      </c>
      <c r="AB52" s="193">
        <f t="shared" si="1"/>
        <v>60000</v>
      </c>
      <c r="AC52" s="201">
        <v>8000</v>
      </c>
      <c r="AD52" s="201">
        <v>0</v>
      </c>
      <c r="AE52" s="193">
        <f t="shared" si="2"/>
        <v>8000</v>
      </c>
      <c r="AF52" s="201">
        <v>0</v>
      </c>
      <c r="AG52" s="196"/>
      <c r="AH52" s="187"/>
      <c r="AI52" s="187"/>
      <c r="AJ52" s="187"/>
      <c r="AK52" s="193">
        <f t="shared" si="3"/>
        <v>0</v>
      </c>
      <c r="AL52" s="199" t="s">
        <v>29</v>
      </c>
      <c r="AM52" s="199" t="s">
        <v>29</v>
      </c>
      <c r="AN52" s="199" t="s">
        <v>29</v>
      </c>
      <c r="AO52" s="199" t="s">
        <v>29</v>
      </c>
      <c r="AP52" s="193"/>
      <c r="AQ52" s="201">
        <v>0</v>
      </c>
      <c r="AR52" s="201">
        <v>0</v>
      </c>
      <c r="AS52" s="201">
        <v>0</v>
      </c>
      <c r="AT52" s="201">
        <v>0</v>
      </c>
      <c r="AU52" s="201">
        <v>0</v>
      </c>
      <c r="AV52" s="201">
        <v>35000</v>
      </c>
      <c r="AW52" s="201">
        <v>0</v>
      </c>
      <c r="AX52" s="201">
        <v>15000</v>
      </c>
      <c r="AY52" s="199" t="s">
        <v>711</v>
      </c>
      <c r="AZ52" s="199">
        <v>60000</v>
      </c>
      <c r="BA52" s="199" t="s">
        <v>712</v>
      </c>
      <c r="BB52" s="199">
        <v>60000</v>
      </c>
      <c r="BC52" s="199" t="s">
        <v>713</v>
      </c>
      <c r="BD52" s="199">
        <v>60000</v>
      </c>
      <c r="BE52" s="199" t="s">
        <v>29</v>
      </c>
      <c r="BF52" s="199" t="s">
        <v>29</v>
      </c>
      <c r="BG52" s="199" t="s">
        <v>29</v>
      </c>
      <c r="BH52" s="199" t="s">
        <v>29</v>
      </c>
      <c r="BI52" s="199" t="s">
        <v>29</v>
      </c>
      <c r="BJ52" s="199" t="s">
        <v>29</v>
      </c>
      <c r="BK52" s="199" t="s">
        <v>29</v>
      </c>
      <c r="BL52" s="199" t="s">
        <v>29</v>
      </c>
      <c r="BM52" s="199" t="s">
        <v>29</v>
      </c>
      <c r="BN52" s="199" t="s">
        <v>29</v>
      </c>
      <c r="BO52" s="199" t="s">
        <v>29</v>
      </c>
      <c r="BP52" s="199" t="s">
        <v>29</v>
      </c>
      <c r="BQ52" s="193"/>
      <c r="BR52" s="187">
        <v>2000</v>
      </c>
      <c r="BS52" s="202">
        <v>300000</v>
      </c>
      <c r="BT52" s="199">
        <v>130000</v>
      </c>
      <c r="BU52" s="192" t="s">
        <v>1052</v>
      </c>
      <c r="BV52" s="192" t="s">
        <v>489</v>
      </c>
      <c r="BW52" s="192">
        <v>30</v>
      </c>
      <c r="BX52" s="192" t="s">
        <v>488</v>
      </c>
      <c r="BY52" s="192" t="s">
        <v>1053</v>
      </c>
      <c r="BZ52" s="192" t="s">
        <v>97</v>
      </c>
      <c r="CA52" s="192">
        <v>5</v>
      </c>
      <c r="CB52" s="192" t="s">
        <v>466</v>
      </c>
      <c r="CC52" s="192" t="s">
        <v>1054</v>
      </c>
      <c r="CD52" s="192" t="s">
        <v>489</v>
      </c>
      <c r="CE52" s="192">
        <v>15</v>
      </c>
      <c r="CF52" s="192" t="s">
        <v>488</v>
      </c>
      <c r="CG52" s="192" t="s">
        <v>316</v>
      </c>
      <c r="CH52" s="192" t="s">
        <v>316</v>
      </c>
      <c r="CI52" s="192" t="s">
        <v>316</v>
      </c>
      <c r="CJ52" s="192" t="s">
        <v>316</v>
      </c>
      <c r="CK52" s="192" t="s">
        <v>316</v>
      </c>
      <c r="CL52" s="192" t="s">
        <v>316</v>
      </c>
      <c r="CM52" s="192" t="s">
        <v>316</v>
      </c>
      <c r="CN52" s="192" t="s">
        <v>316</v>
      </c>
      <c r="CO52" s="192" t="s">
        <v>316</v>
      </c>
      <c r="CP52" s="192" t="s">
        <v>316</v>
      </c>
      <c r="CQ52" s="192" t="s">
        <v>316</v>
      </c>
      <c r="CR52" s="192" t="s">
        <v>316</v>
      </c>
      <c r="CS52" s="192" t="s">
        <v>316</v>
      </c>
      <c r="CT52" s="192" t="s">
        <v>316</v>
      </c>
      <c r="CU52" s="192" t="s">
        <v>316</v>
      </c>
      <c r="CV52" s="192" t="s">
        <v>316</v>
      </c>
      <c r="CW52" s="192" t="s">
        <v>316</v>
      </c>
      <c r="CX52" s="192" t="s">
        <v>316</v>
      </c>
      <c r="CY52" s="192" t="s">
        <v>316</v>
      </c>
      <c r="CZ52" s="192" t="s">
        <v>316</v>
      </c>
      <c r="DA52" s="192" t="s">
        <v>316</v>
      </c>
      <c r="DB52" s="192" t="s">
        <v>316</v>
      </c>
      <c r="DC52" s="192" t="s">
        <v>316</v>
      </c>
      <c r="DD52" s="192" t="s">
        <v>316</v>
      </c>
      <c r="DE52" s="192" t="s">
        <v>316</v>
      </c>
      <c r="DF52" s="192" t="s">
        <v>316</v>
      </c>
      <c r="DG52" s="192" t="s">
        <v>316</v>
      </c>
      <c r="DH52" s="192" t="s">
        <v>316</v>
      </c>
      <c r="DI52" s="192" t="s">
        <v>316</v>
      </c>
      <c r="DJ52" s="192" t="s">
        <v>316</v>
      </c>
      <c r="DK52" s="192" t="s">
        <v>316</v>
      </c>
      <c r="DL52" s="192" t="s">
        <v>316</v>
      </c>
      <c r="DM52" s="192" t="s">
        <v>316</v>
      </c>
      <c r="DN52" s="192" t="s">
        <v>316</v>
      </c>
      <c r="DO52" s="192" t="s">
        <v>316</v>
      </c>
      <c r="DP52" s="192" t="s">
        <v>316</v>
      </c>
      <c r="DQ52" s="192" t="s">
        <v>316</v>
      </c>
      <c r="DR52" s="192" t="s">
        <v>316</v>
      </c>
      <c r="DS52" s="192" t="s">
        <v>316</v>
      </c>
      <c r="DT52" s="192" t="s">
        <v>316</v>
      </c>
      <c r="DU52" s="192" t="s">
        <v>316</v>
      </c>
      <c r="DV52" s="192" t="s">
        <v>316</v>
      </c>
      <c r="DW52" s="192" t="s">
        <v>316</v>
      </c>
      <c r="DX52" s="192" t="s">
        <v>316</v>
      </c>
      <c r="DY52" s="192" t="s">
        <v>316</v>
      </c>
      <c r="DZ52" s="192" t="s">
        <v>316</v>
      </c>
      <c r="EA52" s="192" t="s">
        <v>316</v>
      </c>
      <c r="EB52" s="192" t="s">
        <v>316</v>
      </c>
      <c r="EC52" s="192" t="s">
        <v>29</v>
      </c>
      <c r="ED52" s="192" t="s">
        <v>29</v>
      </c>
      <c r="EE52" s="192" t="s">
        <v>29</v>
      </c>
      <c r="EF52" s="192" t="s">
        <v>29</v>
      </c>
      <c r="EG52" s="192" t="s">
        <v>29</v>
      </c>
      <c r="EH52" s="192" t="s">
        <v>29</v>
      </c>
      <c r="EI52" s="192" t="s">
        <v>29</v>
      </c>
      <c r="EJ52" s="192" t="s">
        <v>29</v>
      </c>
      <c r="EK52" s="192" t="s">
        <v>29</v>
      </c>
      <c r="EL52" s="192" t="s">
        <v>29</v>
      </c>
      <c r="EM52" s="192" t="s">
        <v>29</v>
      </c>
      <c r="EN52" s="192" t="s">
        <v>29</v>
      </c>
    </row>
    <row r="53" spans="1:144" ht="15">
      <c r="A53" s="187" t="str">
        <f t="shared" si="0"/>
        <v>MIZPP11864933873A</v>
      </c>
      <c r="B53" s="197" t="s">
        <v>242</v>
      </c>
      <c r="C53" s="198" t="s">
        <v>226</v>
      </c>
      <c r="D53" s="199" t="s">
        <v>1113</v>
      </c>
      <c r="E53" s="199">
        <v>64933873</v>
      </c>
      <c r="F53" s="199" t="s">
        <v>256</v>
      </c>
      <c r="G53" s="187"/>
      <c r="H53" s="198"/>
      <c r="I53" s="187"/>
      <c r="J53" s="187"/>
      <c r="K53" s="187"/>
      <c r="L53" s="200"/>
      <c r="M53" s="199" t="s">
        <v>256</v>
      </c>
      <c r="N53" s="198"/>
      <c r="O53" s="200"/>
      <c r="P53" s="198"/>
      <c r="Q53" s="199" t="s">
        <v>636</v>
      </c>
      <c r="R53" s="187"/>
      <c r="S53" s="198"/>
      <c r="T53" s="198"/>
      <c r="U53" s="187"/>
      <c r="V53" s="187"/>
      <c r="W53" s="187"/>
      <c r="X53" s="187"/>
      <c r="Y53" s="199" t="s">
        <v>585</v>
      </c>
      <c r="Z53" s="201">
        <v>233000</v>
      </c>
      <c r="AA53" s="201">
        <v>10000</v>
      </c>
      <c r="AB53" s="193">
        <f t="shared" si="1"/>
        <v>243000</v>
      </c>
      <c r="AC53" s="201">
        <v>0</v>
      </c>
      <c r="AD53" s="201">
        <v>0</v>
      </c>
      <c r="AE53" s="193">
        <f t="shared" si="2"/>
        <v>0</v>
      </c>
      <c r="AF53" s="201">
        <v>0</v>
      </c>
      <c r="AG53" s="196"/>
      <c r="AH53" s="187"/>
      <c r="AI53" s="187"/>
      <c r="AJ53" s="187"/>
      <c r="AK53" s="193">
        <f t="shared" si="3"/>
        <v>0</v>
      </c>
      <c r="AL53" s="199" t="s">
        <v>29</v>
      </c>
      <c r="AM53" s="199" t="s">
        <v>29</v>
      </c>
      <c r="AN53" s="199" t="s">
        <v>29</v>
      </c>
      <c r="AO53" s="199" t="s">
        <v>29</v>
      </c>
      <c r="AP53" s="193"/>
      <c r="AQ53" s="201">
        <v>0</v>
      </c>
      <c r="AR53" s="201">
        <v>7400</v>
      </c>
      <c r="AS53" s="201">
        <v>0</v>
      </c>
      <c r="AT53" s="201">
        <v>10000</v>
      </c>
      <c r="AU53" s="201">
        <v>0</v>
      </c>
      <c r="AV53" s="201">
        <v>0</v>
      </c>
      <c r="AW53" s="201">
        <v>0</v>
      </c>
      <c r="AX53" s="201">
        <v>0</v>
      </c>
      <c r="AY53" s="199" t="s">
        <v>637</v>
      </c>
      <c r="AZ53" s="199">
        <v>0</v>
      </c>
      <c r="BA53" s="199" t="s">
        <v>29</v>
      </c>
      <c r="BB53" s="199" t="s">
        <v>29</v>
      </c>
      <c r="BC53" s="199" t="s">
        <v>29</v>
      </c>
      <c r="BD53" s="199" t="s">
        <v>29</v>
      </c>
      <c r="BE53" s="199" t="s">
        <v>29</v>
      </c>
      <c r="BF53" s="199" t="s">
        <v>29</v>
      </c>
      <c r="BG53" s="199" t="s">
        <v>29</v>
      </c>
      <c r="BH53" s="199" t="s">
        <v>29</v>
      </c>
      <c r="BI53" s="199" t="s">
        <v>29</v>
      </c>
      <c r="BJ53" s="199" t="s">
        <v>29</v>
      </c>
      <c r="BK53" s="199" t="s">
        <v>29</v>
      </c>
      <c r="BL53" s="199" t="s">
        <v>29</v>
      </c>
      <c r="BM53" s="199" t="s">
        <v>29</v>
      </c>
      <c r="BN53" s="199" t="s">
        <v>29</v>
      </c>
      <c r="BO53" s="199" t="s">
        <v>29</v>
      </c>
      <c r="BP53" s="199" t="s">
        <v>29</v>
      </c>
      <c r="BQ53" s="193"/>
      <c r="BR53" s="187">
        <v>39600</v>
      </c>
      <c r="BS53" s="202">
        <v>300000</v>
      </c>
      <c r="BT53" s="199">
        <v>200200</v>
      </c>
      <c r="BU53" s="192" t="s">
        <v>1055</v>
      </c>
      <c r="BV53" s="192" t="s">
        <v>777</v>
      </c>
      <c r="BW53" s="192">
        <v>1</v>
      </c>
      <c r="BX53" s="192" t="s">
        <v>138</v>
      </c>
      <c r="BY53" s="192" t="s">
        <v>1056</v>
      </c>
      <c r="BZ53" s="192" t="s">
        <v>489</v>
      </c>
      <c r="CA53" s="192">
        <v>30</v>
      </c>
      <c r="CB53" s="192" t="s">
        <v>418</v>
      </c>
      <c r="CC53" s="192" t="s">
        <v>1057</v>
      </c>
      <c r="CD53" s="192" t="s">
        <v>97</v>
      </c>
      <c r="CE53" s="192">
        <v>2</v>
      </c>
      <c r="CF53" s="192" t="s">
        <v>466</v>
      </c>
      <c r="CG53" s="192" t="s">
        <v>1058</v>
      </c>
      <c r="CH53" s="192" t="s">
        <v>489</v>
      </c>
      <c r="CI53" s="192">
        <v>50</v>
      </c>
      <c r="CJ53" s="192" t="s">
        <v>488</v>
      </c>
      <c r="CK53" s="192" t="s">
        <v>1059</v>
      </c>
      <c r="CL53" s="192" t="s">
        <v>97</v>
      </c>
      <c r="CM53" s="192">
        <v>2</v>
      </c>
      <c r="CN53" s="192" t="s">
        <v>133</v>
      </c>
      <c r="CO53" s="192" t="s">
        <v>1060</v>
      </c>
      <c r="CP53" s="192" t="s">
        <v>97</v>
      </c>
      <c r="CQ53" s="192">
        <v>1</v>
      </c>
      <c r="CR53" s="192" t="s">
        <v>133</v>
      </c>
      <c r="CS53" s="192" t="s">
        <v>1061</v>
      </c>
      <c r="CT53" s="192" t="s">
        <v>97</v>
      </c>
      <c r="CU53" s="192">
        <v>2</v>
      </c>
      <c r="CV53" s="192" t="s">
        <v>133</v>
      </c>
      <c r="CW53" s="192" t="s">
        <v>1062</v>
      </c>
      <c r="CX53" s="192" t="s">
        <v>97</v>
      </c>
      <c r="CY53" s="192">
        <v>2</v>
      </c>
      <c r="CZ53" s="192" t="s">
        <v>134</v>
      </c>
      <c r="DA53" s="192" t="s">
        <v>1063</v>
      </c>
      <c r="DB53" s="192" t="s">
        <v>729</v>
      </c>
      <c r="DC53" s="192">
        <v>2000</v>
      </c>
      <c r="DD53" s="192" t="s">
        <v>895</v>
      </c>
      <c r="DE53" s="192" t="s">
        <v>316</v>
      </c>
      <c r="DF53" s="192" t="s">
        <v>316</v>
      </c>
      <c r="DG53" s="192" t="s">
        <v>316</v>
      </c>
      <c r="DH53" s="192" t="s">
        <v>316</v>
      </c>
      <c r="DI53" s="192" t="s">
        <v>316</v>
      </c>
      <c r="DJ53" s="192" t="s">
        <v>316</v>
      </c>
      <c r="DK53" s="192" t="s">
        <v>316</v>
      </c>
      <c r="DL53" s="192" t="s">
        <v>316</v>
      </c>
      <c r="DM53" s="192" t="s">
        <v>316</v>
      </c>
      <c r="DN53" s="192" t="s">
        <v>316</v>
      </c>
      <c r="DO53" s="192" t="s">
        <v>316</v>
      </c>
      <c r="DP53" s="192" t="s">
        <v>316</v>
      </c>
      <c r="DQ53" s="192" t="s">
        <v>316</v>
      </c>
      <c r="DR53" s="192" t="s">
        <v>316</v>
      </c>
      <c r="DS53" s="192" t="s">
        <v>316</v>
      </c>
      <c r="DT53" s="192" t="s">
        <v>316</v>
      </c>
      <c r="DU53" s="192" t="s">
        <v>316</v>
      </c>
      <c r="DV53" s="192" t="s">
        <v>316</v>
      </c>
      <c r="DW53" s="192" t="s">
        <v>316</v>
      </c>
      <c r="DX53" s="192" t="s">
        <v>316</v>
      </c>
      <c r="DY53" s="192" t="s">
        <v>316</v>
      </c>
      <c r="DZ53" s="192" t="s">
        <v>316</v>
      </c>
      <c r="EA53" s="192" t="s">
        <v>316</v>
      </c>
      <c r="EB53" s="192" t="s">
        <v>316</v>
      </c>
      <c r="EC53" s="192" t="s">
        <v>29</v>
      </c>
      <c r="ED53" s="192" t="s">
        <v>29</v>
      </c>
      <c r="EE53" s="192" t="s">
        <v>29</v>
      </c>
      <c r="EF53" s="192" t="s">
        <v>29</v>
      </c>
      <c r="EG53" s="192" t="s">
        <v>29</v>
      </c>
      <c r="EH53" s="192" t="s">
        <v>29</v>
      </c>
      <c r="EI53" s="192" t="s">
        <v>29</v>
      </c>
      <c r="EJ53" s="192" t="s">
        <v>29</v>
      </c>
      <c r="EK53" s="192" t="s">
        <v>29</v>
      </c>
      <c r="EL53" s="192" t="s">
        <v>29</v>
      </c>
      <c r="EM53" s="192" t="s">
        <v>29</v>
      </c>
      <c r="EN53" s="192" t="s">
        <v>29</v>
      </c>
    </row>
    <row r="54" spans="1:144" ht="15">
      <c r="A54" s="187" t="str">
        <f t="shared" si="0"/>
        <v>MIZPP11946747362A</v>
      </c>
      <c r="B54" s="197" t="s">
        <v>534</v>
      </c>
      <c r="C54" s="198" t="s">
        <v>226</v>
      </c>
      <c r="D54" s="199" t="s">
        <v>1103</v>
      </c>
      <c r="E54" s="199">
        <v>46747362</v>
      </c>
      <c r="F54" s="199" t="s">
        <v>611</v>
      </c>
      <c r="G54" s="187"/>
      <c r="H54" s="187"/>
      <c r="I54" s="187"/>
      <c r="J54" s="187"/>
      <c r="K54" s="187"/>
      <c r="L54" s="187"/>
      <c r="M54" s="199" t="s">
        <v>611</v>
      </c>
      <c r="N54" s="187"/>
      <c r="O54" s="187"/>
      <c r="P54" s="187"/>
      <c r="Q54" s="199" t="s">
        <v>264</v>
      </c>
      <c r="R54" s="187"/>
      <c r="S54" s="187"/>
      <c r="T54" s="187"/>
      <c r="U54" s="187"/>
      <c r="V54" s="187"/>
      <c r="W54" s="187"/>
      <c r="X54" s="187"/>
      <c r="Y54" s="199" t="s">
        <v>586</v>
      </c>
      <c r="Z54" s="201">
        <v>275000</v>
      </c>
      <c r="AA54" s="201">
        <v>0</v>
      </c>
      <c r="AB54" s="193">
        <f t="shared" si="1"/>
        <v>275000</v>
      </c>
      <c r="AC54" s="201">
        <v>0</v>
      </c>
      <c r="AD54" s="201">
        <v>0</v>
      </c>
      <c r="AE54" s="193">
        <f t="shared" si="2"/>
        <v>0</v>
      </c>
      <c r="AF54" s="201">
        <v>25000</v>
      </c>
      <c r="AG54" s="196"/>
      <c r="AH54" s="187"/>
      <c r="AI54" s="187"/>
      <c r="AJ54" s="187"/>
      <c r="AK54" s="193">
        <f t="shared" si="3"/>
        <v>25000</v>
      </c>
      <c r="AL54" s="199" t="s">
        <v>29</v>
      </c>
      <c r="AM54" s="199" t="s">
        <v>29</v>
      </c>
      <c r="AN54" s="199" t="s">
        <v>29</v>
      </c>
      <c r="AO54" s="199" t="s">
        <v>29</v>
      </c>
      <c r="AP54" s="193"/>
      <c r="AQ54" s="201">
        <v>0</v>
      </c>
      <c r="AR54" s="201">
        <v>0</v>
      </c>
      <c r="AS54" s="201">
        <v>0</v>
      </c>
      <c r="AT54" s="201">
        <v>0</v>
      </c>
      <c r="AU54" s="201">
        <v>0</v>
      </c>
      <c r="AV54" s="201">
        <v>0</v>
      </c>
      <c r="AW54" s="201">
        <v>0</v>
      </c>
      <c r="AX54" s="201">
        <v>0</v>
      </c>
      <c r="AY54" s="197" t="s">
        <v>29</v>
      </c>
      <c r="AZ54" s="199">
        <v>0</v>
      </c>
      <c r="BA54" s="199" t="s">
        <v>29</v>
      </c>
      <c r="BB54" s="199" t="s">
        <v>29</v>
      </c>
      <c r="BC54" s="199" t="s">
        <v>29</v>
      </c>
      <c r="BD54" s="199" t="s">
        <v>29</v>
      </c>
      <c r="BE54" s="199" t="s">
        <v>29</v>
      </c>
      <c r="BF54" s="199" t="s">
        <v>29</v>
      </c>
      <c r="BG54" s="199" t="s">
        <v>29</v>
      </c>
      <c r="BH54" s="199" t="s">
        <v>29</v>
      </c>
      <c r="BI54" s="199" t="s">
        <v>29</v>
      </c>
      <c r="BJ54" s="199" t="s">
        <v>29</v>
      </c>
      <c r="BK54" s="199" t="s">
        <v>29</v>
      </c>
      <c r="BL54" s="199" t="s">
        <v>29</v>
      </c>
      <c r="BM54" s="199" t="s">
        <v>29</v>
      </c>
      <c r="BN54" s="199" t="s">
        <v>29</v>
      </c>
      <c r="BO54" s="199" t="s">
        <v>29</v>
      </c>
      <c r="BP54" s="199" t="s">
        <v>29</v>
      </c>
      <c r="BQ54" s="193"/>
      <c r="BR54" s="187">
        <v>0</v>
      </c>
      <c r="BS54" s="202">
        <v>300000</v>
      </c>
      <c r="BT54" s="199">
        <v>343404</v>
      </c>
      <c r="BU54" s="192" t="s">
        <v>971</v>
      </c>
      <c r="BV54" s="192" t="s">
        <v>102</v>
      </c>
      <c r="BW54" s="192">
        <v>5</v>
      </c>
      <c r="BX54" s="192" t="s">
        <v>852</v>
      </c>
      <c r="BY54" s="192" t="s">
        <v>1064</v>
      </c>
      <c r="BZ54" s="192" t="s">
        <v>414</v>
      </c>
      <c r="CA54" s="192">
        <v>5</v>
      </c>
      <c r="CB54" s="192" t="s">
        <v>806</v>
      </c>
      <c r="CC54" s="192" t="s">
        <v>956</v>
      </c>
      <c r="CD54" s="192" t="s">
        <v>102</v>
      </c>
      <c r="CE54" s="192">
        <v>49</v>
      </c>
      <c r="CF54" s="192" t="s">
        <v>956</v>
      </c>
      <c r="CG54" s="192" t="s">
        <v>1065</v>
      </c>
      <c r="CH54" s="192" t="s">
        <v>97</v>
      </c>
      <c r="CI54" s="192">
        <v>1000</v>
      </c>
      <c r="CJ54" s="192" t="s">
        <v>422</v>
      </c>
      <c r="CK54" s="192" t="s">
        <v>972</v>
      </c>
      <c r="CL54" s="192" t="s">
        <v>97</v>
      </c>
      <c r="CM54" s="192">
        <v>4</v>
      </c>
      <c r="CN54" s="192" t="s">
        <v>466</v>
      </c>
      <c r="CO54" s="192" t="s">
        <v>1066</v>
      </c>
      <c r="CP54" s="192" t="s">
        <v>489</v>
      </c>
      <c r="CQ54" s="192">
        <v>50</v>
      </c>
      <c r="CR54" s="192" t="s">
        <v>488</v>
      </c>
      <c r="CS54" s="192" t="s">
        <v>974</v>
      </c>
      <c r="CT54" s="192" t="s">
        <v>97</v>
      </c>
      <c r="CU54" s="192">
        <v>5</v>
      </c>
      <c r="CV54" s="192" t="s">
        <v>134</v>
      </c>
      <c r="CW54" s="192" t="s">
        <v>812</v>
      </c>
      <c r="CX54" s="192" t="s">
        <v>729</v>
      </c>
      <c r="CY54" s="192">
        <v>400</v>
      </c>
      <c r="CZ54" s="192" t="s">
        <v>730</v>
      </c>
      <c r="DA54" s="192" t="s">
        <v>139</v>
      </c>
      <c r="DB54" s="192" t="s">
        <v>144</v>
      </c>
      <c r="DC54" s="192">
        <v>30</v>
      </c>
      <c r="DD54" s="192" t="s">
        <v>139</v>
      </c>
      <c r="DE54" s="192" t="s">
        <v>726</v>
      </c>
      <c r="DF54" s="192" t="s">
        <v>725</v>
      </c>
      <c r="DG54" s="192">
        <v>100</v>
      </c>
      <c r="DH54" s="192" t="s">
        <v>726</v>
      </c>
      <c r="DI54" s="192" t="s">
        <v>316</v>
      </c>
      <c r="DJ54" s="192" t="s">
        <v>316</v>
      </c>
      <c r="DK54" s="192" t="s">
        <v>316</v>
      </c>
      <c r="DL54" s="192" t="s">
        <v>316</v>
      </c>
      <c r="DM54" s="192" t="s">
        <v>316</v>
      </c>
      <c r="DN54" s="192" t="s">
        <v>316</v>
      </c>
      <c r="DO54" s="192" t="s">
        <v>316</v>
      </c>
      <c r="DP54" s="192" t="s">
        <v>316</v>
      </c>
      <c r="DQ54" s="192" t="s">
        <v>316</v>
      </c>
      <c r="DR54" s="192" t="s">
        <v>316</v>
      </c>
      <c r="DS54" s="192" t="s">
        <v>316</v>
      </c>
      <c r="DT54" s="192" t="s">
        <v>316</v>
      </c>
      <c r="DU54" s="192" t="s">
        <v>316</v>
      </c>
      <c r="DV54" s="192" t="s">
        <v>316</v>
      </c>
      <c r="DW54" s="192" t="s">
        <v>316</v>
      </c>
      <c r="DX54" s="192" t="s">
        <v>316</v>
      </c>
      <c r="DY54" s="192" t="s">
        <v>316</v>
      </c>
      <c r="DZ54" s="192" t="s">
        <v>316</v>
      </c>
      <c r="EA54" s="192" t="s">
        <v>316</v>
      </c>
      <c r="EB54" s="192" t="s">
        <v>316</v>
      </c>
      <c r="EC54" s="192" t="s">
        <v>29</v>
      </c>
      <c r="ED54" s="192" t="s">
        <v>29</v>
      </c>
      <c r="EE54" s="192" t="s">
        <v>29</v>
      </c>
      <c r="EF54" s="192" t="s">
        <v>29</v>
      </c>
      <c r="EG54" s="192" t="s">
        <v>29</v>
      </c>
      <c r="EH54" s="192" t="s">
        <v>29</v>
      </c>
      <c r="EI54" s="192" t="s">
        <v>29</v>
      </c>
      <c r="EJ54" s="192" t="s">
        <v>29</v>
      </c>
      <c r="EK54" s="192" t="s">
        <v>29</v>
      </c>
      <c r="EL54" s="192" t="s">
        <v>29</v>
      </c>
      <c r="EM54" s="192" t="s">
        <v>29</v>
      </c>
      <c r="EN54" s="192" t="s">
        <v>29</v>
      </c>
    </row>
    <row r="55" spans="1:144" ht="15">
      <c r="A55" s="187" t="str">
        <f t="shared" si="0"/>
        <v>MIZPP12564933873A</v>
      </c>
      <c r="B55" s="197" t="s">
        <v>535</v>
      </c>
      <c r="C55" s="198" t="s">
        <v>226</v>
      </c>
      <c r="D55" s="199" t="s">
        <v>1113</v>
      </c>
      <c r="E55" s="199">
        <v>64933873</v>
      </c>
      <c r="F55" s="199" t="s">
        <v>256</v>
      </c>
      <c r="G55" s="187"/>
      <c r="H55" s="187"/>
      <c r="I55" s="187"/>
      <c r="J55" s="187"/>
      <c r="K55" s="187"/>
      <c r="L55" s="187"/>
      <c r="M55" s="199" t="s">
        <v>256</v>
      </c>
      <c r="N55" s="187"/>
      <c r="O55" s="187"/>
      <c r="P55" s="187"/>
      <c r="Q55" s="199" t="s">
        <v>636</v>
      </c>
      <c r="R55" s="187"/>
      <c r="S55" s="187"/>
      <c r="T55" s="187"/>
      <c r="U55" s="187"/>
      <c r="V55" s="187"/>
      <c r="W55" s="187"/>
      <c r="X55" s="187"/>
      <c r="Y55" s="199" t="s">
        <v>587</v>
      </c>
      <c r="Z55" s="201">
        <v>212000</v>
      </c>
      <c r="AA55" s="201">
        <v>0</v>
      </c>
      <c r="AB55" s="193">
        <f t="shared" si="1"/>
        <v>212000</v>
      </c>
      <c r="AC55" s="201">
        <v>0</v>
      </c>
      <c r="AD55" s="201">
        <v>0</v>
      </c>
      <c r="AE55" s="193">
        <f t="shared" si="2"/>
        <v>0</v>
      </c>
      <c r="AF55" s="201">
        <v>0</v>
      </c>
      <c r="AG55" s="196"/>
      <c r="AH55" s="187"/>
      <c r="AI55" s="187"/>
      <c r="AJ55" s="187"/>
      <c r="AK55" s="193">
        <f t="shared" si="3"/>
        <v>0</v>
      </c>
      <c r="AL55" s="199" t="s">
        <v>29</v>
      </c>
      <c r="AM55" s="199" t="s">
        <v>29</v>
      </c>
      <c r="AN55" s="199" t="s">
        <v>29</v>
      </c>
      <c r="AO55" s="199" t="s">
        <v>29</v>
      </c>
      <c r="AP55" s="193"/>
      <c r="AQ55" s="201">
        <v>0</v>
      </c>
      <c r="AR55" s="201">
        <v>0</v>
      </c>
      <c r="AS55" s="201">
        <v>0</v>
      </c>
      <c r="AT55" s="201">
        <v>50000</v>
      </c>
      <c r="AU55" s="201">
        <v>0</v>
      </c>
      <c r="AV55" s="201">
        <v>0</v>
      </c>
      <c r="AW55" s="201">
        <v>0</v>
      </c>
      <c r="AX55" s="201">
        <v>0</v>
      </c>
      <c r="AY55" s="199" t="s">
        <v>637</v>
      </c>
      <c r="AZ55" s="199">
        <v>0</v>
      </c>
      <c r="BA55" s="199" t="s">
        <v>29</v>
      </c>
      <c r="BB55" s="199" t="s">
        <v>29</v>
      </c>
      <c r="BC55" s="199" t="s">
        <v>29</v>
      </c>
      <c r="BD55" s="199" t="s">
        <v>29</v>
      </c>
      <c r="BE55" s="199" t="s">
        <v>29</v>
      </c>
      <c r="BF55" s="199" t="s">
        <v>29</v>
      </c>
      <c r="BG55" s="199" t="s">
        <v>29</v>
      </c>
      <c r="BH55" s="199" t="s">
        <v>29</v>
      </c>
      <c r="BI55" s="199" t="s">
        <v>29</v>
      </c>
      <c r="BJ55" s="199" t="s">
        <v>29</v>
      </c>
      <c r="BK55" s="199" t="s">
        <v>29</v>
      </c>
      <c r="BL55" s="199" t="s">
        <v>29</v>
      </c>
      <c r="BM55" s="199" t="s">
        <v>29</v>
      </c>
      <c r="BN55" s="199" t="s">
        <v>29</v>
      </c>
      <c r="BO55" s="199" t="s">
        <v>29</v>
      </c>
      <c r="BP55" s="199" t="s">
        <v>29</v>
      </c>
      <c r="BQ55" s="193"/>
      <c r="BR55" s="187">
        <v>38000</v>
      </c>
      <c r="BS55" s="202">
        <v>300000</v>
      </c>
      <c r="BT55" s="199">
        <v>206000</v>
      </c>
      <c r="BU55" s="192" t="s">
        <v>1067</v>
      </c>
      <c r="BV55" s="192" t="s">
        <v>777</v>
      </c>
      <c r="BW55" s="192">
        <v>1</v>
      </c>
      <c r="BX55" s="192" t="s">
        <v>138</v>
      </c>
      <c r="BY55" s="192" t="s">
        <v>418</v>
      </c>
      <c r="BZ55" s="192" t="s">
        <v>489</v>
      </c>
      <c r="CA55" s="192">
        <v>200</v>
      </c>
      <c r="CB55" s="192" t="s">
        <v>418</v>
      </c>
      <c r="CC55" s="192" t="s">
        <v>134</v>
      </c>
      <c r="CD55" s="192" t="s">
        <v>97</v>
      </c>
      <c r="CE55" s="192">
        <v>100</v>
      </c>
      <c r="CF55" s="192" t="s">
        <v>134</v>
      </c>
      <c r="CG55" s="192" t="s">
        <v>1068</v>
      </c>
      <c r="CH55" s="192" t="s">
        <v>749</v>
      </c>
      <c r="CI55" s="192">
        <v>500000</v>
      </c>
      <c r="CJ55" s="192" t="s">
        <v>730</v>
      </c>
      <c r="CK55" s="192" t="s">
        <v>1069</v>
      </c>
      <c r="CL55" s="192" t="s">
        <v>97</v>
      </c>
      <c r="CM55" s="192">
        <v>4</v>
      </c>
      <c r="CN55" s="192" t="s">
        <v>466</v>
      </c>
      <c r="CO55" s="192" t="s">
        <v>1070</v>
      </c>
      <c r="CP55" s="192" t="s">
        <v>489</v>
      </c>
      <c r="CQ55" s="192">
        <v>1000</v>
      </c>
      <c r="CR55" s="192" t="s">
        <v>488</v>
      </c>
      <c r="CS55" s="192" t="s">
        <v>133</v>
      </c>
      <c r="CT55" s="192" t="s">
        <v>97</v>
      </c>
      <c r="CU55" s="192">
        <v>4</v>
      </c>
      <c r="CV55" s="192" t="s">
        <v>133</v>
      </c>
      <c r="CW55" s="192" t="s">
        <v>316</v>
      </c>
      <c r="CX55" s="192" t="s">
        <v>316</v>
      </c>
      <c r="CY55" s="192" t="s">
        <v>316</v>
      </c>
      <c r="CZ55" s="192" t="s">
        <v>316</v>
      </c>
      <c r="DA55" s="192" t="s">
        <v>316</v>
      </c>
      <c r="DB55" s="192" t="s">
        <v>316</v>
      </c>
      <c r="DC55" s="192" t="s">
        <v>316</v>
      </c>
      <c r="DD55" s="192" t="s">
        <v>316</v>
      </c>
      <c r="DE55" s="192" t="s">
        <v>316</v>
      </c>
      <c r="DF55" s="192" t="s">
        <v>316</v>
      </c>
      <c r="DG55" s="192" t="s">
        <v>316</v>
      </c>
      <c r="DH55" s="192" t="s">
        <v>316</v>
      </c>
      <c r="DI55" s="192" t="s">
        <v>316</v>
      </c>
      <c r="DJ55" s="192" t="s">
        <v>316</v>
      </c>
      <c r="DK55" s="192" t="s">
        <v>316</v>
      </c>
      <c r="DL55" s="192" t="s">
        <v>316</v>
      </c>
      <c r="DM55" s="192" t="s">
        <v>316</v>
      </c>
      <c r="DN55" s="192" t="s">
        <v>316</v>
      </c>
      <c r="DO55" s="192" t="s">
        <v>316</v>
      </c>
      <c r="DP55" s="192" t="s">
        <v>316</v>
      </c>
      <c r="DQ55" s="192" t="s">
        <v>316</v>
      </c>
      <c r="DR55" s="192" t="s">
        <v>316</v>
      </c>
      <c r="DS55" s="192" t="s">
        <v>316</v>
      </c>
      <c r="DT55" s="192" t="s">
        <v>316</v>
      </c>
      <c r="DU55" s="192" t="s">
        <v>316</v>
      </c>
      <c r="DV55" s="192" t="s">
        <v>316</v>
      </c>
      <c r="DW55" s="192" t="s">
        <v>316</v>
      </c>
      <c r="DX55" s="192" t="s">
        <v>316</v>
      </c>
      <c r="DY55" s="192" t="s">
        <v>316</v>
      </c>
      <c r="DZ55" s="192" t="s">
        <v>316</v>
      </c>
      <c r="EA55" s="192" t="s">
        <v>316</v>
      </c>
      <c r="EB55" s="192" t="s">
        <v>316</v>
      </c>
      <c r="EC55" s="192" t="s">
        <v>29</v>
      </c>
      <c r="ED55" s="192" t="s">
        <v>29</v>
      </c>
      <c r="EE55" s="192" t="s">
        <v>29</v>
      </c>
      <c r="EF55" s="192" t="s">
        <v>29</v>
      </c>
      <c r="EG55" s="192" t="s">
        <v>29</v>
      </c>
      <c r="EH55" s="192" t="s">
        <v>29</v>
      </c>
      <c r="EI55" s="192" t="s">
        <v>29</v>
      </c>
      <c r="EJ55" s="192" t="s">
        <v>29</v>
      </c>
      <c r="EK55" s="192" t="s">
        <v>29</v>
      </c>
      <c r="EL55" s="192" t="s">
        <v>29</v>
      </c>
      <c r="EM55" s="192" t="s">
        <v>29</v>
      </c>
      <c r="EN55" s="192" t="s">
        <v>29</v>
      </c>
    </row>
    <row r="56" spans="1:144" ht="15">
      <c r="A56" s="187" t="str">
        <f t="shared" si="0"/>
        <v>MIZPP12602586894A</v>
      </c>
      <c r="B56" s="197" t="s">
        <v>536</v>
      </c>
      <c r="C56" s="198" t="s">
        <v>226</v>
      </c>
      <c r="D56" s="199" t="s">
        <v>1107</v>
      </c>
      <c r="E56" s="199" t="s">
        <v>250</v>
      </c>
      <c r="F56" s="199" t="s">
        <v>615</v>
      </c>
      <c r="G56" s="187"/>
      <c r="H56" s="187"/>
      <c r="I56" s="187"/>
      <c r="J56" s="187"/>
      <c r="K56" s="187"/>
      <c r="L56" s="187"/>
      <c r="M56" s="199" t="s">
        <v>615</v>
      </c>
      <c r="N56" s="187"/>
      <c r="O56" s="187"/>
      <c r="P56" s="187"/>
      <c r="Q56" s="199" t="s">
        <v>269</v>
      </c>
      <c r="R56" s="187"/>
      <c r="S56" s="187"/>
      <c r="T56" s="187"/>
      <c r="U56" s="187"/>
      <c r="V56" s="187"/>
      <c r="W56" s="187"/>
      <c r="X56" s="187"/>
      <c r="Y56" s="199" t="s">
        <v>588</v>
      </c>
      <c r="Z56" s="201">
        <v>300000</v>
      </c>
      <c r="AA56" s="201">
        <v>0</v>
      </c>
      <c r="AB56" s="193">
        <f t="shared" si="1"/>
        <v>300000</v>
      </c>
      <c r="AC56" s="201">
        <v>0</v>
      </c>
      <c r="AD56" s="201">
        <v>0</v>
      </c>
      <c r="AE56" s="193">
        <f t="shared" si="2"/>
        <v>0</v>
      </c>
      <c r="AF56" s="201">
        <v>0</v>
      </c>
      <c r="AG56" s="196"/>
      <c r="AH56" s="187"/>
      <c r="AI56" s="187"/>
      <c r="AJ56" s="187"/>
      <c r="AK56" s="193">
        <f t="shared" si="3"/>
        <v>0</v>
      </c>
      <c r="AL56" s="199" t="s">
        <v>29</v>
      </c>
      <c r="AM56" s="199" t="s">
        <v>29</v>
      </c>
      <c r="AN56" s="199" t="s">
        <v>29</v>
      </c>
      <c r="AO56" s="199" t="s">
        <v>29</v>
      </c>
      <c r="AP56" s="193"/>
      <c r="AQ56" s="201">
        <v>0</v>
      </c>
      <c r="AR56" s="201">
        <v>0</v>
      </c>
      <c r="AS56" s="201">
        <v>0</v>
      </c>
      <c r="AT56" s="201">
        <v>0</v>
      </c>
      <c r="AU56" s="201">
        <v>0</v>
      </c>
      <c r="AV56" s="201">
        <v>0</v>
      </c>
      <c r="AW56" s="201">
        <v>0</v>
      </c>
      <c r="AX56" s="201">
        <v>0</v>
      </c>
      <c r="AY56" s="199" t="s">
        <v>637</v>
      </c>
      <c r="AZ56" s="199">
        <v>0</v>
      </c>
      <c r="BA56" s="199" t="s">
        <v>29</v>
      </c>
      <c r="BB56" s="199" t="s">
        <v>29</v>
      </c>
      <c r="BC56" s="199" t="s">
        <v>29</v>
      </c>
      <c r="BD56" s="199" t="s">
        <v>29</v>
      </c>
      <c r="BE56" s="199" t="s">
        <v>29</v>
      </c>
      <c r="BF56" s="199" t="s">
        <v>29</v>
      </c>
      <c r="BG56" s="199" t="s">
        <v>29</v>
      </c>
      <c r="BH56" s="199" t="s">
        <v>29</v>
      </c>
      <c r="BI56" s="199" t="s">
        <v>29</v>
      </c>
      <c r="BJ56" s="199" t="s">
        <v>29</v>
      </c>
      <c r="BK56" s="199" t="s">
        <v>29</v>
      </c>
      <c r="BL56" s="199" t="s">
        <v>29</v>
      </c>
      <c r="BM56" s="199" t="s">
        <v>29</v>
      </c>
      <c r="BN56" s="199" t="s">
        <v>29</v>
      </c>
      <c r="BO56" s="199" t="s">
        <v>29</v>
      </c>
      <c r="BP56" s="199" t="s">
        <v>29</v>
      </c>
      <c r="BQ56" s="193"/>
      <c r="BR56" s="187">
        <v>0</v>
      </c>
      <c r="BS56" s="202">
        <v>300000</v>
      </c>
      <c r="BT56" s="199">
        <v>313000</v>
      </c>
      <c r="BU56" s="192" t="s">
        <v>1071</v>
      </c>
      <c r="BV56" s="192" t="s">
        <v>414</v>
      </c>
      <c r="BW56" s="192">
        <v>9</v>
      </c>
      <c r="BX56" s="192" t="s">
        <v>806</v>
      </c>
      <c r="BY56" s="192" t="s">
        <v>1072</v>
      </c>
      <c r="BZ56" s="192" t="s">
        <v>97</v>
      </c>
      <c r="CA56" s="192">
        <v>1</v>
      </c>
      <c r="CB56" s="192" t="s">
        <v>133</v>
      </c>
      <c r="CC56" s="192" t="s">
        <v>1073</v>
      </c>
      <c r="CD56" s="192" t="s">
        <v>97</v>
      </c>
      <c r="CE56" s="192">
        <v>1</v>
      </c>
      <c r="CF56" s="192" t="s">
        <v>133</v>
      </c>
      <c r="CG56" s="192" t="s">
        <v>1074</v>
      </c>
      <c r="CH56" s="192" t="s">
        <v>97</v>
      </c>
      <c r="CI56" s="192">
        <v>1</v>
      </c>
      <c r="CJ56" s="192" t="s">
        <v>466</v>
      </c>
      <c r="CK56" s="192" t="s">
        <v>1075</v>
      </c>
      <c r="CL56" s="192" t="s">
        <v>489</v>
      </c>
      <c r="CM56" s="192">
        <v>15</v>
      </c>
      <c r="CN56" s="192" t="s">
        <v>488</v>
      </c>
      <c r="CO56" s="192" t="s">
        <v>1076</v>
      </c>
      <c r="CP56" s="192" t="s">
        <v>97</v>
      </c>
      <c r="CQ56" s="192">
        <v>1</v>
      </c>
      <c r="CR56" s="192" t="s">
        <v>466</v>
      </c>
      <c r="CS56" s="192" t="s">
        <v>1077</v>
      </c>
      <c r="CT56" s="192" t="s">
        <v>489</v>
      </c>
      <c r="CU56" s="192">
        <v>15</v>
      </c>
      <c r="CV56" s="192" t="s">
        <v>488</v>
      </c>
      <c r="CW56" s="192" t="s">
        <v>1078</v>
      </c>
      <c r="CX56" s="192" t="s">
        <v>97</v>
      </c>
      <c r="CY56" s="192">
        <v>12</v>
      </c>
      <c r="CZ56" s="192" t="s">
        <v>134</v>
      </c>
      <c r="DA56" s="192" t="s">
        <v>1079</v>
      </c>
      <c r="DB56" s="192" t="s">
        <v>729</v>
      </c>
      <c r="DC56" s="192">
        <v>600</v>
      </c>
      <c r="DD56" s="192" t="s">
        <v>730</v>
      </c>
      <c r="DE56" s="192" t="s">
        <v>316</v>
      </c>
      <c r="DF56" s="192" t="s">
        <v>316</v>
      </c>
      <c r="DG56" s="192" t="s">
        <v>316</v>
      </c>
      <c r="DH56" s="192" t="s">
        <v>316</v>
      </c>
      <c r="DI56" s="192" t="s">
        <v>316</v>
      </c>
      <c r="DJ56" s="192" t="s">
        <v>316</v>
      </c>
      <c r="DK56" s="192" t="s">
        <v>316</v>
      </c>
      <c r="DL56" s="192" t="s">
        <v>316</v>
      </c>
      <c r="DM56" s="192" t="s">
        <v>316</v>
      </c>
      <c r="DN56" s="192" t="s">
        <v>316</v>
      </c>
      <c r="DO56" s="192" t="s">
        <v>316</v>
      </c>
      <c r="DP56" s="192" t="s">
        <v>316</v>
      </c>
      <c r="DQ56" s="192" t="s">
        <v>316</v>
      </c>
      <c r="DR56" s="192" t="s">
        <v>316</v>
      </c>
      <c r="DS56" s="192" t="s">
        <v>316</v>
      </c>
      <c r="DT56" s="192" t="s">
        <v>316</v>
      </c>
      <c r="DU56" s="192" t="s">
        <v>316</v>
      </c>
      <c r="DV56" s="192" t="s">
        <v>316</v>
      </c>
      <c r="DW56" s="192" t="s">
        <v>316</v>
      </c>
      <c r="DX56" s="192" t="s">
        <v>316</v>
      </c>
      <c r="DY56" s="192" t="s">
        <v>316</v>
      </c>
      <c r="DZ56" s="192" t="s">
        <v>316</v>
      </c>
      <c r="EA56" s="192" t="s">
        <v>316</v>
      </c>
      <c r="EB56" s="192" t="s">
        <v>316</v>
      </c>
      <c r="EC56" s="192" t="s">
        <v>29</v>
      </c>
      <c r="ED56" s="192" t="s">
        <v>29</v>
      </c>
      <c r="EE56" s="192" t="s">
        <v>29</v>
      </c>
      <c r="EF56" s="192" t="s">
        <v>29</v>
      </c>
      <c r="EG56" s="192" t="s">
        <v>29</v>
      </c>
      <c r="EH56" s="192" t="s">
        <v>29</v>
      </c>
      <c r="EI56" s="192" t="s">
        <v>29</v>
      </c>
      <c r="EJ56" s="192" t="s">
        <v>29</v>
      </c>
      <c r="EK56" s="192" t="s">
        <v>29</v>
      </c>
      <c r="EL56" s="192" t="s">
        <v>29</v>
      </c>
      <c r="EM56" s="192" t="s">
        <v>29</v>
      </c>
      <c r="EN56" s="192" t="s">
        <v>29</v>
      </c>
    </row>
    <row r="57" spans="1:144" s="216" customFormat="1" ht="15">
      <c r="A57" s="187" t="str">
        <f t="shared" si="0"/>
        <v>MIZPP00100103764B</v>
      </c>
      <c r="B57" s="197" t="s">
        <v>177</v>
      </c>
      <c r="C57" s="198" t="s">
        <v>243</v>
      </c>
      <c r="D57" s="199" t="s">
        <v>1096</v>
      </c>
      <c r="E57" s="199" t="s">
        <v>247</v>
      </c>
      <c r="F57" s="199" t="s">
        <v>254</v>
      </c>
      <c r="G57" s="187"/>
      <c r="H57" s="187"/>
      <c r="I57" s="187"/>
      <c r="J57" s="187"/>
      <c r="K57" s="187"/>
      <c r="L57" s="187"/>
      <c r="M57" s="199" t="s">
        <v>254</v>
      </c>
      <c r="N57" s="187"/>
      <c r="O57" s="187"/>
      <c r="P57" s="187"/>
      <c r="Q57" s="199" t="s">
        <v>263</v>
      </c>
      <c r="R57" s="187"/>
      <c r="S57" s="187"/>
      <c r="T57" s="187"/>
      <c r="U57" s="187"/>
      <c r="V57" s="187"/>
      <c r="W57" s="187"/>
      <c r="X57" s="187"/>
      <c r="Y57" s="199" t="s">
        <v>1114</v>
      </c>
      <c r="Z57" s="187">
        <v>200000</v>
      </c>
      <c r="AA57" s="187">
        <v>0</v>
      </c>
      <c r="AB57" s="187">
        <v>200000</v>
      </c>
      <c r="AC57" s="187">
        <v>8000</v>
      </c>
      <c r="AD57" s="187">
        <v>0</v>
      </c>
      <c r="AE57" s="193">
        <v>8000</v>
      </c>
      <c r="AF57" s="187">
        <v>3000</v>
      </c>
      <c r="AG57" s="196"/>
      <c r="AH57" s="187"/>
      <c r="AI57" s="187"/>
      <c r="AJ57" s="187"/>
      <c r="AK57" s="193">
        <f t="shared" si="3"/>
        <v>3000</v>
      </c>
      <c r="AL57" s="196" t="s">
        <v>29</v>
      </c>
      <c r="AM57" s="187">
        <v>0</v>
      </c>
      <c r="AN57" s="196" t="s">
        <v>316</v>
      </c>
      <c r="AO57" s="187">
        <v>0</v>
      </c>
      <c r="AP57" s="193"/>
      <c r="AQ57" s="187">
        <v>7000</v>
      </c>
      <c r="AR57" s="187">
        <v>110000</v>
      </c>
      <c r="AS57" s="187">
        <v>0</v>
      </c>
      <c r="AT57" s="187">
        <v>0</v>
      </c>
      <c r="AU57" s="187">
        <v>0</v>
      </c>
      <c r="AV57" s="187">
        <v>0</v>
      </c>
      <c r="AW57" s="187">
        <v>15000</v>
      </c>
      <c r="AX57" s="187">
        <v>0</v>
      </c>
      <c r="AY57" s="187" t="s">
        <v>1116</v>
      </c>
      <c r="AZ57" s="187">
        <v>2635000</v>
      </c>
      <c r="BA57" s="187" t="s">
        <v>316</v>
      </c>
      <c r="BB57" s="187">
        <v>0</v>
      </c>
      <c r="BC57" s="187" t="s">
        <v>316</v>
      </c>
      <c r="BD57" s="187">
        <v>0</v>
      </c>
      <c r="BE57" s="187" t="s">
        <v>316</v>
      </c>
      <c r="BF57" s="187">
        <v>0</v>
      </c>
      <c r="BG57" s="196" t="s">
        <v>316</v>
      </c>
      <c r="BH57" s="187">
        <v>0</v>
      </c>
      <c r="BI57" s="196" t="s">
        <v>316</v>
      </c>
      <c r="BJ57" s="187">
        <v>0</v>
      </c>
      <c r="BK57" s="196" t="s">
        <v>316</v>
      </c>
      <c r="BL57" s="187">
        <v>0</v>
      </c>
      <c r="BM57" s="187"/>
      <c r="BN57" s="187"/>
      <c r="BO57" s="187"/>
      <c r="BP57" s="187"/>
      <c r="BQ57" s="193"/>
      <c r="BR57" s="187">
        <v>22000</v>
      </c>
      <c r="BS57" s="202">
        <v>3000000</v>
      </c>
      <c r="BT57" s="204">
        <v>1577000</v>
      </c>
      <c r="BU57" s="192" t="s">
        <v>1119</v>
      </c>
      <c r="BV57" s="192" t="s">
        <v>102</v>
      </c>
      <c r="BW57" s="192">
        <v>30</v>
      </c>
      <c r="BX57" s="192" t="s">
        <v>971</v>
      </c>
      <c r="BY57" s="192" t="s">
        <v>1120</v>
      </c>
      <c r="BZ57" s="192" t="s">
        <v>414</v>
      </c>
      <c r="CA57" s="192">
        <v>1000</v>
      </c>
      <c r="CB57" s="192" t="s">
        <v>806</v>
      </c>
      <c r="CC57" s="192" t="s">
        <v>1121</v>
      </c>
      <c r="CD57" s="192" t="s">
        <v>102</v>
      </c>
      <c r="CE57" s="192">
        <v>3000</v>
      </c>
      <c r="CF57" s="192" t="s">
        <v>956</v>
      </c>
      <c r="CG57" s="192" t="s">
        <v>1122</v>
      </c>
      <c r="CH57" s="192" t="s">
        <v>97</v>
      </c>
      <c r="CI57" s="192">
        <v>3</v>
      </c>
      <c r="CJ57" s="192" t="s">
        <v>133</v>
      </c>
      <c r="CK57" s="192" t="s">
        <v>1123</v>
      </c>
      <c r="CL57" s="192" t="s">
        <v>97</v>
      </c>
      <c r="CM57" s="192">
        <v>2</v>
      </c>
      <c r="CN57" s="192" t="s">
        <v>466</v>
      </c>
      <c r="CO57" s="192" t="s">
        <v>1124</v>
      </c>
      <c r="CP57" s="192" t="s">
        <v>489</v>
      </c>
      <c r="CQ57" s="192">
        <v>40</v>
      </c>
      <c r="CR57" s="192" t="s">
        <v>1125</v>
      </c>
      <c r="CS57" s="192" t="s">
        <v>1126</v>
      </c>
      <c r="CT57" s="192" t="s">
        <v>97</v>
      </c>
      <c r="CU57" s="192">
        <v>1</v>
      </c>
      <c r="CV57" s="192" t="s">
        <v>137</v>
      </c>
      <c r="CW57" s="192" t="s">
        <v>417</v>
      </c>
      <c r="CX57" s="192" t="s">
        <v>416</v>
      </c>
      <c r="CY57" s="192">
        <v>1000</v>
      </c>
      <c r="CZ57" s="192" t="s">
        <v>1127</v>
      </c>
      <c r="DA57" s="192" t="s">
        <v>139</v>
      </c>
      <c r="DB57" s="192" t="s">
        <v>144</v>
      </c>
      <c r="DC57" s="192">
        <v>200</v>
      </c>
      <c r="DD57" s="192" t="s">
        <v>139</v>
      </c>
      <c r="DE57" s="192" t="s">
        <v>726</v>
      </c>
      <c r="DF57" s="192" t="s">
        <v>1128</v>
      </c>
      <c r="DG57" s="192">
        <v>800</v>
      </c>
      <c r="DH57" s="192" t="s">
        <v>726</v>
      </c>
      <c r="DI57" s="192" t="s">
        <v>29</v>
      </c>
      <c r="DJ57" s="192" t="s">
        <v>29</v>
      </c>
      <c r="DK57" s="192" t="s">
        <v>29</v>
      </c>
      <c r="DL57" s="192" t="s">
        <v>29</v>
      </c>
      <c r="DM57" s="192" t="s">
        <v>29</v>
      </c>
      <c r="DN57" s="192" t="s">
        <v>29</v>
      </c>
      <c r="DO57" s="192" t="s">
        <v>29</v>
      </c>
      <c r="DP57" s="192" t="s">
        <v>29</v>
      </c>
      <c r="DQ57" s="192" t="s">
        <v>29</v>
      </c>
      <c r="DR57" s="192" t="s">
        <v>29</v>
      </c>
      <c r="DS57" s="192" t="s">
        <v>29</v>
      </c>
      <c r="DT57" s="192" t="s">
        <v>29</v>
      </c>
      <c r="DU57" s="192" t="s">
        <v>29</v>
      </c>
      <c r="DV57" s="192" t="s">
        <v>29</v>
      </c>
      <c r="DW57" s="192" t="s">
        <v>29</v>
      </c>
      <c r="DX57" s="192" t="s">
        <v>29</v>
      </c>
      <c r="DY57" s="192" t="s">
        <v>29</v>
      </c>
      <c r="DZ57" s="192" t="s">
        <v>29</v>
      </c>
      <c r="EA57" s="192" t="s">
        <v>29</v>
      </c>
      <c r="EB57" s="192" t="s">
        <v>29</v>
      </c>
      <c r="EC57" s="192" t="s">
        <v>29</v>
      </c>
      <c r="ED57" s="192" t="s">
        <v>29</v>
      </c>
      <c r="EE57" s="192" t="s">
        <v>29</v>
      </c>
      <c r="EF57" s="192" t="s">
        <v>29</v>
      </c>
      <c r="EG57" s="192" t="s">
        <v>29</v>
      </c>
      <c r="EH57" s="192" t="s">
        <v>29</v>
      </c>
      <c r="EI57" s="192" t="s">
        <v>29</v>
      </c>
      <c r="EJ57" s="192" t="s">
        <v>29</v>
      </c>
      <c r="EK57" s="192" t="s">
        <v>29</v>
      </c>
      <c r="EL57" s="192" t="s">
        <v>29</v>
      </c>
      <c r="EM57" s="192" t="s">
        <v>29</v>
      </c>
      <c r="EN57" s="192" t="s">
        <v>29</v>
      </c>
    </row>
    <row r="58" spans="1:144" s="216" customFormat="1" ht="15">
      <c r="A58" s="187" t="str">
        <f t="shared" si="0"/>
        <v>MIZPP00200103764B</v>
      </c>
      <c r="B58" s="197" t="s">
        <v>166</v>
      </c>
      <c r="C58" s="198" t="s">
        <v>243</v>
      </c>
      <c r="D58" s="199" t="s">
        <v>1096</v>
      </c>
      <c r="E58" s="199" t="s">
        <v>247</v>
      </c>
      <c r="F58" s="199" t="s">
        <v>254</v>
      </c>
      <c r="G58" s="187"/>
      <c r="H58" s="187"/>
      <c r="I58" s="187"/>
      <c r="J58" s="187"/>
      <c r="K58" s="187"/>
      <c r="L58" s="187"/>
      <c r="M58" s="199" t="s">
        <v>254</v>
      </c>
      <c r="N58" s="187"/>
      <c r="O58" s="187"/>
      <c r="P58" s="187"/>
      <c r="Q58" s="199" t="s">
        <v>263</v>
      </c>
      <c r="R58" s="187"/>
      <c r="S58" s="187"/>
      <c r="T58" s="187"/>
      <c r="U58" s="187"/>
      <c r="V58" s="187"/>
      <c r="W58" s="187"/>
      <c r="X58" s="187"/>
      <c r="Y58" s="199" t="s">
        <v>1115</v>
      </c>
      <c r="Z58" s="187">
        <v>415000</v>
      </c>
      <c r="AA58" s="187">
        <v>0</v>
      </c>
      <c r="AB58" s="187">
        <v>415000</v>
      </c>
      <c r="AC58" s="187">
        <v>10000</v>
      </c>
      <c r="AD58" s="187">
        <v>0</v>
      </c>
      <c r="AE58" s="193">
        <v>10000</v>
      </c>
      <c r="AF58" s="187">
        <v>5000</v>
      </c>
      <c r="AG58" s="196"/>
      <c r="AH58" s="187"/>
      <c r="AI58" s="187"/>
      <c r="AJ58" s="187"/>
      <c r="AK58" s="193">
        <f t="shared" si="3"/>
        <v>5000</v>
      </c>
      <c r="AL58" s="196" t="s">
        <v>29</v>
      </c>
      <c r="AM58" s="187">
        <v>0</v>
      </c>
      <c r="AN58" s="196" t="s">
        <v>316</v>
      </c>
      <c r="AO58" s="187">
        <v>0</v>
      </c>
      <c r="AP58" s="193"/>
      <c r="AQ58" s="187">
        <v>15000</v>
      </c>
      <c r="AR58" s="187">
        <v>10000</v>
      </c>
      <c r="AS58" s="187">
        <v>10000</v>
      </c>
      <c r="AT58" s="187">
        <v>0</v>
      </c>
      <c r="AU58" s="187">
        <v>0</v>
      </c>
      <c r="AV58" s="187">
        <v>0</v>
      </c>
      <c r="AW58" s="187">
        <v>14000</v>
      </c>
      <c r="AX58" s="187">
        <v>0</v>
      </c>
      <c r="AY58" s="187" t="s">
        <v>1116</v>
      </c>
      <c r="AZ58" s="187">
        <v>1453000</v>
      </c>
      <c r="BA58" s="187" t="s">
        <v>1117</v>
      </c>
      <c r="BB58" s="187">
        <v>38000</v>
      </c>
      <c r="BC58" s="187" t="s">
        <v>316</v>
      </c>
      <c r="BD58" s="187">
        <v>0</v>
      </c>
      <c r="BE58" s="187" t="s">
        <v>316</v>
      </c>
      <c r="BF58" s="187">
        <v>0</v>
      </c>
      <c r="BG58" s="196" t="s">
        <v>316</v>
      </c>
      <c r="BH58" s="187">
        <v>0</v>
      </c>
      <c r="BI58" s="196" t="s">
        <v>316</v>
      </c>
      <c r="BJ58" s="187">
        <v>0</v>
      </c>
      <c r="BK58" s="196" t="s">
        <v>316</v>
      </c>
      <c r="BL58" s="187">
        <v>0</v>
      </c>
      <c r="BM58" s="187"/>
      <c r="BN58" s="187"/>
      <c r="BO58" s="187"/>
      <c r="BP58" s="187"/>
      <c r="BQ58" s="193"/>
      <c r="BR58" s="187">
        <v>30000</v>
      </c>
      <c r="BS58" s="202">
        <v>2000000</v>
      </c>
      <c r="BT58" s="204">
        <v>858000</v>
      </c>
      <c r="BU58" s="192" t="s">
        <v>1129</v>
      </c>
      <c r="BV58" s="192" t="s">
        <v>97</v>
      </c>
      <c r="BW58" s="192">
        <v>1</v>
      </c>
      <c r="BX58" s="192" t="s">
        <v>133</v>
      </c>
      <c r="BY58" s="192" t="s">
        <v>1130</v>
      </c>
      <c r="BZ58" s="192" t="s">
        <v>97</v>
      </c>
      <c r="CA58" s="192">
        <v>1</v>
      </c>
      <c r="CB58" s="192" t="s">
        <v>466</v>
      </c>
      <c r="CC58" s="192" t="s">
        <v>1131</v>
      </c>
      <c r="CD58" s="192" t="s">
        <v>489</v>
      </c>
      <c r="CE58" s="192">
        <v>20</v>
      </c>
      <c r="CF58" s="192" t="s">
        <v>1125</v>
      </c>
      <c r="CG58" s="192" t="s">
        <v>1132</v>
      </c>
      <c r="CH58" s="192" t="s">
        <v>97</v>
      </c>
      <c r="CI58" s="192">
        <v>24</v>
      </c>
      <c r="CJ58" s="192" t="s">
        <v>134</v>
      </c>
      <c r="CK58" s="192" t="s">
        <v>1039</v>
      </c>
      <c r="CL58" s="192" t="s">
        <v>729</v>
      </c>
      <c r="CM58" s="192">
        <v>250</v>
      </c>
      <c r="CN58" s="192" t="s">
        <v>895</v>
      </c>
      <c r="CO58" s="192" t="s">
        <v>1133</v>
      </c>
      <c r="CP58" s="192" t="s">
        <v>1134</v>
      </c>
      <c r="CQ58" s="192">
        <v>100</v>
      </c>
      <c r="CR58" s="192" t="s">
        <v>139</v>
      </c>
      <c r="CS58" s="192" t="s">
        <v>726</v>
      </c>
      <c r="CT58" s="192" t="s">
        <v>1128</v>
      </c>
      <c r="CU58" s="192">
        <v>400</v>
      </c>
      <c r="CV58" s="192" t="s">
        <v>726</v>
      </c>
      <c r="CW58" s="192" t="s">
        <v>1135</v>
      </c>
      <c r="CX58" s="192" t="s">
        <v>97</v>
      </c>
      <c r="CY58" s="192" t="s">
        <v>1136</v>
      </c>
      <c r="CZ58" s="192" t="s">
        <v>467</v>
      </c>
      <c r="DA58" s="192" t="s">
        <v>1137</v>
      </c>
      <c r="DB58" s="192" t="s">
        <v>102</v>
      </c>
      <c r="DC58" s="192">
        <v>5</v>
      </c>
      <c r="DD58" s="192" t="s">
        <v>468</v>
      </c>
      <c r="DE58" s="205" t="s">
        <v>29</v>
      </c>
      <c r="DF58" s="205" t="s">
        <v>29</v>
      </c>
      <c r="DG58" s="205" t="s">
        <v>29</v>
      </c>
      <c r="DH58" s="192" t="s">
        <v>29</v>
      </c>
      <c r="DI58" s="192" t="s">
        <v>29</v>
      </c>
      <c r="DJ58" s="192" t="s">
        <v>29</v>
      </c>
      <c r="DK58" s="192" t="s">
        <v>29</v>
      </c>
      <c r="DL58" s="192" t="s">
        <v>29</v>
      </c>
      <c r="DM58" s="192" t="s">
        <v>29</v>
      </c>
      <c r="DN58" s="192" t="s">
        <v>29</v>
      </c>
      <c r="DO58" s="192" t="s">
        <v>29</v>
      </c>
      <c r="DP58" s="192" t="s">
        <v>29</v>
      </c>
      <c r="DQ58" s="192" t="s">
        <v>29</v>
      </c>
      <c r="DR58" s="192" t="s">
        <v>29</v>
      </c>
      <c r="DS58" s="192" t="s">
        <v>29</v>
      </c>
      <c r="DT58" s="192" t="s">
        <v>29</v>
      </c>
      <c r="DU58" s="192" t="s">
        <v>29</v>
      </c>
      <c r="DV58" s="192" t="s">
        <v>29</v>
      </c>
      <c r="DW58" s="192" t="s">
        <v>29</v>
      </c>
      <c r="DX58" s="192" t="s">
        <v>29</v>
      </c>
      <c r="DY58" s="192" t="s">
        <v>29</v>
      </c>
      <c r="DZ58" s="192" t="s">
        <v>29</v>
      </c>
      <c r="EA58" s="192" t="s">
        <v>29</v>
      </c>
      <c r="EB58" s="192" t="s">
        <v>29</v>
      </c>
      <c r="EC58" s="192" t="s">
        <v>29</v>
      </c>
      <c r="ED58" s="192" t="s">
        <v>29</v>
      </c>
      <c r="EE58" s="192" t="s">
        <v>29</v>
      </c>
      <c r="EF58" s="192" t="s">
        <v>29</v>
      </c>
      <c r="EG58" s="192" t="s">
        <v>29</v>
      </c>
      <c r="EH58" s="192" t="s">
        <v>29</v>
      </c>
      <c r="EI58" s="192" t="s">
        <v>29</v>
      </c>
      <c r="EJ58" s="192" t="s">
        <v>29</v>
      </c>
      <c r="EK58" s="192" t="s">
        <v>29</v>
      </c>
      <c r="EL58" s="192" t="s">
        <v>29</v>
      </c>
      <c r="EM58" s="192" t="s">
        <v>29</v>
      </c>
      <c r="EN58" s="192" t="s">
        <v>29</v>
      </c>
    </row>
    <row r="59" spans="1:144" s="216" customFormat="1" ht="15.75">
      <c r="A59" s="187" t="str">
        <f t="shared" si="0"/>
        <v>MIZPP00165667131C</v>
      </c>
      <c r="B59" s="197" t="s">
        <v>177</v>
      </c>
      <c r="C59" s="198" t="s">
        <v>244</v>
      </c>
      <c r="D59" s="206" t="s">
        <v>1157</v>
      </c>
      <c r="E59" s="207" t="s">
        <v>1156</v>
      </c>
      <c r="F59" s="208" t="s">
        <v>1158</v>
      </c>
      <c r="G59" s="187"/>
      <c r="H59" s="187"/>
      <c r="I59" s="187"/>
      <c r="J59" s="187"/>
      <c r="K59" s="187"/>
      <c r="L59" s="187"/>
      <c r="M59" s="208" t="s">
        <v>1158</v>
      </c>
      <c r="N59" s="187"/>
      <c r="O59" s="187"/>
      <c r="P59" s="187"/>
      <c r="Q59" s="199" t="s">
        <v>1159</v>
      </c>
      <c r="R59" s="187"/>
      <c r="S59" s="187"/>
      <c r="T59" s="187"/>
      <c r="U59" s="187"/>
      <c r="V59" s="187"/>
      <c r="W59" s="187"/>
      <c r="X59" s="187"/>
      <c r="Y59" s="187" t="s">
        <v>1160</v>
      </c>
      <c r="Z59" s="187">
        <v>183000</v>
      </c>
      <c r="AA59" s="187">
        <v>25000</v>
      </c>
      <c r="AB59" s="193">
        <f t="shared" si="1"/>
        <v>208000</v>
      </c>
      <c r="AC59" s="187">
        <v>0</v>
      </c>
      <c r="AD59" s="187">
        <v>5000</v>
      </c>
      <c r="AE59" s="193">
        <f t="shared" si="2"/>
        <v>5000</v>
      </c>
      <c r="AF59" s="187">
        <v>25000</v>
      </c>
      <c r="AG59" s="196"/>
      <c r="AH59" s="187"/>
      <c r="AI59" s="187"/>
      <c r="AJ59" s="187"/>
      <c r="AK59" s="193">
        <f t="shared" si="3"/>
        <v>25000</v>
      </c>
      <c r="AL59" s="196" t="s">
        <v>316</v>
      </c>
      <c r="AM59" s="187">
        <v>0</v>
      </c>
      <c r="AN59" s="196" t="s">
        <v>316</v>
      </c>
      <c r="AO59" s="187">
        <v>0</v>
      </c>
      <c r="AP59" s="193"/>
      <c r="AQ59" s="187">
        <v>0</v>
      </c>
      <c r="AR59" s="187">
        <v>0</v>
      </c>
      <c r="AS59" s="187">
        <v>1500</v>
      </c>
      <c r="AT59" s="187">
        <v>22000</v>
      </c>
      <c r="AU59" s="187">
        <v>13000</v>
      </c>
      <c r="AV59" s="187">
        <v>0</v>
      </c>
      <c r="AW59" s="187">
        <v>0</v>
      </c>
      <c r="AX59" s="187">
        <v>0</v>
      </c>
      <c r="AY59" s="196" t="s">
        <v>29</v>
      </c>
      <c r="AZ59" s="187">
        <v>0</v>
      </c>
      <c r="BA59" s="187" t="s">
        <v>316</v>
      </c>
      <c r="BB59" s="187">
        <v>0</v>
      </c>
      <c r="BC59" s="187" t="s">
        <v>316</v>
      </c>
      <c r="BD59" s="187">
        <v>0</v>
      </c>
      <c r="BE59" s="187" t="s">
        <v>316</v>
      </c>
      <c r="BF59" s="187">
        <v>0</v>
      </c>
      <c r="BG59" s="196" t="s">
        <v>316</v>
      </c>
      <c r="BH59" s="187">
        <v>0</v>
      </c>
      <c r="BI59" s="196" t="s">
        <v>316</v>
      </c>
      <c r="BJ59" s="187">
        <v>0</v>
      </c>
      <c r="BK59" s="196" t="s">
        <v>316</v>
      </c>
      <c r="BL59" s="187">
        <v>0</v>
      </c>
      <c r="BM59" s="187"/>
      <c r="BN59" s="187"/>
      <c r="BO59" s="187"/>
      <c r="BP59" s="187"/>
      <c r="BQ59" s="193"/>
      <c r="BR59" s="187">
        <v>0</v>
      </c>
      <c r="BS59" s="202"/>
      <c r="BT59" s="204"/>
      <c r="BU59" s="192" t="s">
        <v>456</v>
      </c>
      <c r="BV59" s="192" t="s">
        <v>102</v>
      </c>
      <c r="BW59" s="192">
        <v>120000</v>
      </c>
      <c r="BX59" s="192" t="s">
        <v>420</v>
      </c>
      <c r="BY59" s="192" t="s">
        <v>142</v>
      </c>
      <c r="BZ59" s="192" t="s">
        <v>144</v>
      </c>
      <c r="CA59" s="192">
        <v>20</v>
      </c>
      <c r="CB59" s="192" t="s">
        <v>139</v>
      </c>
      <c r="CC59" s="192" t="s">
        <v>457</v>
      </c>
      <c r="CD59" s="192" t="s">
        <v>97</v>
      </c>
      <c r="CE59" s="192">
        <v>1</v>
      </c>
      <c r="CF59" s="192" t="s">
        <v>412</v>
      </c>
      <c r="CG59" s="192" t="s">
        <v>458</v>
      </c>
      <c r="CH59" s="192" t="s">
        <v>144</v>
      </c>
      <c r="CI59" s="192">
        <v>70</v>
      </c>
      <c r="CJ59" s="192" t="s">
        <v>413</v>
      </c>
      <c r="CK59" s="192" t="s">
        <v>192</v>
      </c>
      <c r="CL59" s="192" t="s">
        <v>97</v>
      </c>
      <c r="CM59" s="192">
        <v>1</v>
      </c>
      <c r="CN59" s="192" t="s">
        <v>412</v>
      </c>
      <c r="CO59" s="192" t="s">
        <v>459</v>
      </c>
      <c r="CP59" s="192" t="s">
        <v>144</v>
      </c>
      <c r="CQ59" s="192">
        <v>500</v>
      </c>
      <c r="CR59" s="192" t="s">
        <v>413</v>
      </c>
      <c r="CS59" s="192" t="s">
        <v>460</v>
      </c>
      <c r="CT59" s="192" t="s">
        <v>97</v>
      </c>
      <c r="CU59" s="192">
        <v>3</v>
      </c>
      <c r="CV59" s="192" t="s">
        <v>412</v>
      </c>
      <c r="CW59" s="192" t="s">
        <v>461</v>
      </c>
      <c r="CX59" s="192" t="s">
        <v>144</v>
      </c>
      <c r="CY59" s="192">
        <v>30</v>
      </c>
      <c r="CZ59" s="192" t="s">
        <v>413</v>
      </c>
      <c r="DA59" s="192" t="s">
        <v>462</v>
      </c>
      <c r="DB59" s="192" t="s">
        <v>97</v>
      </c>
      <c r="DC59" s="192">
        <v>1</v>
      </c>
      <c r="DD59" s="192" t="s">
        <v>412</v>
      </c>
      <c r="DE59" s="192" t="s">
        <v>463</v>
      </c>
      <c r="DF59" s="192" t="s">
        <v>144</v>
      </c>
      <c r="DG59" s="192">
        <v>100</v>
      </c>
      <c r="DH59" s="192" t="s">
        <v>413</v>
      </c>
      <c r="DI59" s="192" t="s">
        <v>464</v>
      </c>
      <c r="DJ59" s="192" t="s">
        <v>97</v>
      </c>
      <c r="DK59" s="192">
        <v>10</v>
      </c>
      <c r="DL59" s="192" t="s">
        <v>412</v>
      </c>
      <c r="DM59" s="192" t="s">
        <v>465</v>
      </c>
      <c r="DN59" s="192" t="s">
        <v>144</v>
      </c>
      <c r="DO59" s="192">
        <v>200</v>
      </c>
      <c r="DP59" s="192" t="s">
        <v>413</v>
      </c>
      <c r="DQ59" s="192" t="s">
        <v>101</v>
      </c>
      <c r="DR59" s="192" t="s">
        <v>97</v>
      </c>
      <c r="DS59" s="192">
        <v>4</v>
      </c>
      <c r="DT59" s="192" t="s">
        <v>134</v>
      </c>
      <c r="DU59" s="192" t="s">
        <v>29</v>
      </c>
      <c r="DV59" s="192" t="s">
        <v>29</v>
      </c>
      <c r="DW59" s="192" t="s">
        <v>29</v>
      </c>
      <c r="DX59" s="192" t="s">
        <v>29</v>
      </c>
      <c r="DY59" s="192" t="s">
        <v>29</v>
      </c>
      <c r="DZ59" s="192" t="s">
        <v>29</v>
      </c>
      <c r="EA59" s="192" t="s">
        <v>29</v>
      </c>
      <c r="EB59" s="192" t="s">
        <v>29</v>
      </c>
      <c r="EC59" s="192" t="s">
        <v>29</v>
      </c>
      <c r="ED59" s="192" t="s">
        <v>29</v>
      </c>
      <c r="EE59" s="192" t="s">
        <v>29</v>
      </c>
      <c r="EF59" s="192" t="s">
        <v>29</v>
      </c>
      <c r="EG59" s="192" t="s">
        <v>29</v>
      </c>
      <c r="EH59" s="192" t="s">
        <v>29</v>
      </c>
      <c r="EI59" s="192" t="s">
        <v>29</v>
      </c>
      <c r="EJ59" s="192" t="s">
        <v>29</v>
      </c>
      <c r="EK59" s="192" t="s">
        <v>29</v>
      </c>
      <c r="EL59" s="192" t="s">
        <v>29</v>
      </c>
      <c r="EM59" s="192" t="s">
        <v>29</v>
      </c>
      <c r="EN59" s="192" t="s">
        <v>29</v>
      </c>
    </row>
    <row r="60" spans="1:144" s="216" customFormat="1" ht="15">
      <c r="A60" s="209" t="str">
        <f t="shared" si="0"/>
        <v>MIZPP00214888009C</v>
      </c>
      <c r="B60" s="197" t="s">
        <v>166</v>
      </c>
      <c r="C60" s="198" t="s">
        <v>244</v>
      </c>
      <c r="D60" s="199" t="s">
        <v>1106</v>
      </c>
      <c r="E60" s="199">
        <v>14888009</v>
      </c>
      <c r="F60" s="199" t="s">
        <v>614</v>
      </c>
      <c r="G60" s="187"/>
      <c r="H60" s="198"/>
      <c r="I60" s="187"/>
      <c r="J60" s="187"/>
      <c r="K60" s="187"/>
      <c r="L60" s="200"/>
      <c r="M60" s="199" t="s">
        <v>614</v>
      </c>
      <c r="N60" s="187"/>
      <c r="O60" s="187"/>
      <c r="P60" s="187"/>
      <c r="Q60" s="199" t="s">
        <v>276</v>
      </c>
      <c r="R60" s="187"/>
      <c r="S60" s="187"/>
      <c r="T60" s="187"/>
      <c r="U60" s="187"/>
      <c r="V60" s="187"/>
      <c r="W60" s="187"/>
      <c r="X60" s="187"/>
      <c r="Y60" s="187" t="s">
        <v>1155</v>
      </c>
      <c r="Z60" s="187">
        <v>500000</v>
      </c>
      <c r="AA60" s="187">
        <v>0</v>
      </c>
      <c r="AB60" s="193">
        <f t="shared" si="1"/>
        <v>500000</v>
      </c>
      <c r="AC60" s="187">
        <v>0</v>
      </c>
      <c r="AD60" s="187">
        <v>0</v>
      </c>
      <c r="AE60" s="193">
        <f t="shared" si="2"/>
        <v>0</v>
      </c>
      <c r="AF60" s="187">
        <v>0</v>
      </c>
      <c r="AG60" s="196"/>
      <c r="AH60" s="187"/>
      <c r="AI60" s="187"/>
      <c r="AJ60" s="187"/>
      <c r="AK60" s="193">
        <f t="shared" si="3"/>
        <v>0</v>
      </c>
      <c r="AL60" s="196" t="s">
        <v>316</v>
      </c>
      <c r="AM60" s="187">
        <v>0</v>
      </c>
      <c r="AN60" s="196" t="s">
        <v>316</v>
      </c>
      <c r="AO60" s="187">
        <v>0</v>
      </c>
      <c r="AP60" s="193"/>
      <c r="AQ60" s="187">
        <v>0</v>
      </c>
      <c r="AR60" s="187">
        <v>0</v>
      </c>
      <c r="AS60" s="187">
        <v>0</v>
      </c>
      <c r="AT60" s="187">
        <v>0</v>
      </c>
      <c r="AU60" s="187">
        <v>0</v>
      </c>
      <c r="AV60" s="187">
        <v>0</v>
      </c>
      <c r="AW60" s="187">
        <v>0</v>
      </c>
      <c r="AX60" s="187">
        <v>0</v>
      </c>
      <c r="AY60" s="196" t="s">
        <v>29</v>
      </c>
      <c r="AZ60" s="187">
        <v>0</v>
      </c>
      <c r="BA60" s="187" t="s">
        <v>316</v>
      </c>
      <c r="BB60" s="187">
        <v>0</v>
      </c>
      <c r="BC60" s="187" t="s">
        <v>316</v>
      </c>
      <c r="BD60" s="187">
        <v>0</v>
      </c>
      <c r="BE60" s="187" t="s">
        <v>316</v>
      </c>
      <c r="BF60" s="187">
        <v>0</v>
      </c>
      <c r="BG60" s="196" t="s">
        <v>316</v>
      </c>
      <c r="BH60" s="187">
        <v>0</v>
      </c>
      <c r="BI60" s="196" t="s">
        <v>316</v>
      </c>
      <c r="BJ60" s="187">
        <v>0</v>
      </c>
      <c r="BK60" s="196" t="s">
        <v>316</v>
      </c>
      <c r="BL60" s="187">
        <v>0</v>
      </c>
      <c r="BM60" s="187"/>
      <c r="BN60" s="187"/>
      <c r="BO60" s="187"/>
      <c r="BP60" s="187"/>
      <c r="BQ60" s="193"/>
      <c r="BR60" s="187">
        <v>0</v>
      </c>
      <c r="BS60" s="202">
        <v>500000</v>
      </c>
      <c r="BT60" s="204">
        <v>234504</v>
      </c>
      <c r="BU60" s="210" t="s">
        <v>1139</v>
      </c>
      <c r="BV60" s="210" t="s">
        <v>1140</v>
      </c>
      <c r="BW60" s="210">
        <v>50</v>
      </c>
      <c r="BX60" s="210" t="s">
        <v>137</v>
      </c>
      <c r="BY60" s="210" t="s">
        <v>1141</v>
      </c>
      <c r="BZ60" s="210" t="s">
        <v>1142</v>
      </c>
      <c r="CA60" s="210">
        <v>100</v>
      </c>
      <c r="CB60" s="210" t="s">
        <v>1143</v>
      </c>
      <c r="CC60" s="210" t="s">
        <v>1144</v>
      </c>
      <c r="CD60" s="210" t="s">
        <v>97</v>
      </c>
      <c r="CE60" s="210">
        <v>4</v>
      </c>
      <c r="CF60" s="210" t="s">
        <v>137</v>
      </c>
      <c r="CG60" s="210" t="s">
        <v>1145</v>
      </c>
      <c r="CH60" s="210" t="s">
        <v>1142</v>
      </c>
      <c r="CI60" s="210">
        <v>200</v>
      </c>
      <c r="CJ60" s="210" t="s">
        <v>1143</v>
      </c>
      <c r="CK60" s="210" t="s">
        <v>1146</v>
      </c>
      <c r="CL60" s="210" t="s">
        <v>97</v>
      </c>
      <c r="CM60" s="210">
        <v>1</v>
      </c>
      <c r="CN60" s="210" t="s">
        <v>466</v>
      </c>
      <c r="CO60" s="210" t="s">
        <v>1147</v>
      </c>
      <c r="CP60" s="210" t="s">
        <v>1148</v>
      </c>
      <c r="CQ60" s="210">
        <v>20</v>
      </c>
      <c r="CR60" s="210" t="s">
        <v>1125</v>
      </c>
      <c r="CS60" s="210" t="s">
        <v>1149</v>
      </c>
      <c r="CT60" s="210" t="s">
        <v>1140</v>
      </c>
      <c r="CU60" s="210">
        <v>1</v>
      </c>
      <c r="CV60" s="210" t="s">
        <v>137</v>
      </c>
      <c r="CW60" s="210" t="s">
        <v>1150</v>
      </c>
      <c r="CX60" s="210" t="s">
        <v>1142</v>
      </c>
      <c r="CY60" s="210">
        <v>200</v>
      </c>
      <c r="CZ60" s="210" t="s">
        <v>1127</v>
      </c>
      <c r="DA60" s="210" t="s">
        <v>1151</v>
      </c>
      <c r="DB60" s="210" t="s">
        <v>1140</v>
      </c>
      <c r="DC60" s="210">
        <v>1</v>
      </c>
      <c r="DD60" s="210" t="s">
        <v>466</v>
      </c>
      <c r="DE60" s="210" t="s">
        <v>1152</v>
      </c>
      <c r="DF60" s="210" t="s">
        <v>1148</v>
      </c>
      <c r="DG60" s="210">
        <v>15</v>
      </c>
      <c r="DH60" s="210" t="s">
        <v>1125</v>
      </c>
      <c r="DI60" s="210" t="s">
        <v>1153</v>
      </c>
      <c r="DJ60" s="210" t="s">
        <v>1140</v>
      </c>
      <c r="DK60" s="210">
        <v>3</v>
      </c>
      <c r="DL60" s="210" t="s">
        <v>466</v>
      </c>
      <c r="DM60" s="210" t="s">
        <v>1154</v>
      </c>
      <c r="DN60" s="210" t="s">
        <v>1148</v>
      </c>
      <c r="DO60" s="210">
        <v>20</v>
      </c>
      <c r="DP60" s="210" t="s">
        <v>1125</v>
      </c>
      <c r="DQ60" s="187"/>
      <c r="DR60" s="187"/>
      <c r="DS60" s="187"/>
      <c r="DT60" s="187"/>
      <c r="DU60" s="187"/>
      <c r="DV60" s="187"/>
      <c r="DW60" s="187"/>
      <c r="DX60" s="187"/>
      <c r="DY60" s="192"/>
      <c r="DZ60" s="192"/>
      <c r="EA60" s="192"/>
      <c r="EB60" s="192" t="s">
        <v>29</v>
      </c>
      <c r="EC60" s="192" t="s">
        <v>29</v>
      </c>
      <c r="ED60" s="192" t="s">
        <v>29</v>
      </c>
      <c r="EE60" s="192" t="s">
        <v>29</v>
      </c>
      <c r="EF60" s="192" t="s">
        <v>29</v>
      </c>
      <c r="EG60" s="192" t="s">
        <v>29</v>
      </c>
      <c r="EH60" s="192" t="s">
        <v>29</v>
      </c>
      <c r="EI60" s="192" t="s">
        <v>29</v>
      </c>
      <c r="EJ60" s="192" t="s">
        <v>29</v>
      </c>
      <c r="EK60" s="192" t="s">
        <v>29</v>
      </c>
      <c r="EL60" s="192" t="s">
        <v>29</v>
      </c>
      <c r="EM60" s="192" t="s">
        <v>29</v>
      </c>
      <c r="EN60" s="192" t="s">
        <v>29</v>
      </c>
    </row>
    <row r="61" spans="1:144" ht="15">
      <c r="A61" s="209" t="str">
        <f t="shared" si="0"/>
        <v>MIZPP99912345678A</v>
      </c>
      <c r="B61" s="197">
        <v>999</v>
      </c>
      <c r="C61" s="187" t="s">
        <v>226</v>
      </c>
      <c r="D61" s="199" t="s">
        <v>1161</v>
      </c>
      <c r="E61" s="207" t="s">
        <v>1162</v>
      </c>
      <c r="F61" s="199" t="s">
        <v>1163</v>
      </c>
      <c r="G61" s="187"/>
      <c r="H61" s="187"/>
      <c r="I61" s="187"/>
      <c r="J61" s="187"/>
      <c r="K61" s="187"/>
      <c r="L61" s="187"/>
      <c r="M61" s="199" t="s">
        <v>1163</v>
      </c>
      <c r="N61" s="187"/>
      <c r="O61" s="187"/>
      <c r="P61" s="187"/>
      <c r="Q61" s="199" t="s">
        <v>1164</v>
      </c>
      <c r="R61" s="187"/>
      <c r="S61" s="187"/>
      <c r="T61" s="187"/>
      <c r="U61" s="187"/>
      <c r="V61" s="187"/>
      <c r="W61" s="187"/>
      <c r="X61" s="187"/>
      <c r="Y61" s="199" t="s">
        <v>1165</v>
      </c>
      <c r="Z61" s="187">
        <v>1</v>
      </c>
      <c r="AA61" s="187">
        <v>2</v>
      </c>
      <c r="AB61" s="193"/>
      <c r="AC61" s="187">
        <v>3</v>
      </c>
      <c r="AD61" s="187">
        <v>4</v>
      </c>
      <c r="AE61" s="193"/>
      <c r="AF61" s="187">
        <v>5</v>
      </c>
      <c r="AG61" s="196"/>
      <c r="AH61" s="187"/>
      <c r="AI61" s="187"/>
      <c r="AJ61" s="187"/>
      <c r="AK61" s="193">
        <v>6</v>
      </c>
      <c r="AL61" s="196" t="s">
        <v>1171</v>
      </c>
      <c r="AM61" s="187">
        <v>7</v>
      </c>
      <c r="AN61" s="196" t="s">
        <v>1172</v>
      </c>
      <c r="AO61" s="187">
        <v>8</v>
      </c>
      <c r="AP61" s="193"/>
      <c r="AQ61" s="187">
        <v>9</v>
      </c>
      <c r="AR61" s="187">
        <v>10</v>
      </c>
      <c r="AS61" s="187">
        <v>11</v>
      </c>
      <c r="AT61" s="187">
        <v>12</v>
      </c>
      <c r="AU61" s="187">
        <v>13</v>
      </c>
      <c r="AV61" s="187">
        <v>14</v>
      </c>
      <c r="AW61" s="187">
        <v>15</v>
      </c>
      <c r="AX61" s="187">
        <v>16</v>
      </c>
      <c r="AY61" s="187" t="s">
        <v>1173</v>
      </c>
      <c r="AZ61" s="187">
        <v>17</v>
      </c>
      <c r="BA61" s="187" t="s">
        <v>1174</v>
      </c>
      <c r="BB61" s="187">
        <v>18</v>
      </c>
      <c r="BC61" s="187" t="s">
        <v>1166</v>
      </c>
      <c r="BD61" s="187">
        <v>19</v>
      </c>
      <c r="BE61" s="187" t="s">
        <v>1167</v>
      </c>
      <c r="BF61" s="187">
        <v>20</v>
      </c>
      <c r="BG61" s="187" t="s">
        <v>1175</v>
      </c>
      <c r="BH61" s="187">
        <v>21</v>
      </c>
      <c r="BI61" s="187" t="s">
        <v>1176</v>
      </c>
      <c r="BJ61" s="187">
        <v>22</v>
      </c>
      <c r="BK61" s="187" t="s">
        <v>1168</v>
      </c>
      <c r="BL61" s="187">
        <v>23</v>
      </c>
      <c r="BM61" s="187" t="s">
        <v>1169</v>
      </c>
      <c r="BN61" s="187">
        <v>24</v>
      </c>
      <c r="BO61" s="187" t="s">
        <v>1170</v>
      </c>
      <c r="BP61" s="187">
        <v>25</v>
      </c>
      <c r="BQ61" s="193"/>
      <c r="BR61" s="187">
        <v>26</v>
      </c>
      <c r="BS61" s="202">
        <v>345</v>
      </c>
      <c r="BT61" s="204">
        <v>300</v>
      </c>
      <c r="BU61" s="192" t="s">
        <v>340</v>
      </c>
      <c r="BV61" s="192" t="s">
        <v>341</v>
      </c>
      <c r="BW61" s="192">
        <v>1</v>
      </c>
      <c r="BX61" s="192" t="s">
        <v>343</v>
      </c>
      <c r="BY61" s="192" t="s">
        <v>344</v>
      </c>
      <c r="BZ61" s="192" t="s">
        <v>345</v>
      </c>
      <c r="CA61" s="192">
        <v>2</v>
      </c>
      <c r="CB61" s="192" t="s">
        <v>347</v>
      </c>
      <c r="CC61" s="192" t="s">
        <v>348</v>
      </c>
      <c r="CD61" s="192" t="s">
        <v>349</v>
      </c>
      <c r="CE61" s="192">
        <v>3</v>
      </c>
      <c r="CF61" s="192" t="s">
        <v>351</v>
      </c>
      <c r="CG61" s="192" t="s">
        <v>352</v>
      </c>
      <c r="CH61" s="192" t="s">
        <v>353</v>
      </c>
      <c r="CI61" s="192">
        <v>4</v>
      </c>
      <c r="CJ61" s="192" t="s">
        <v>355</v>
      </c>
      <c r="CK61" s="192" t="s">
        <v>356</v>
      </c>
      <c r="CL61" s="192" t="s">
        <v>357</v>
      </c>
      <c r="CM61" s="192">
        <v>5</v>
      </c>
      <c r="CN61" s="192" t="s">
        <v>359</v>
      </c>
      <c r="CO61" s="192" t="s">
        <v>360</v>
      </c>
      <c r="CP61" s="192" t="s">
        <v>361</v>
      </c>
      <c r="CQ61" s="192">
        <v>6</v>
      </c>
      <c r="CR61" s="192" t="s">
        <v>363</v>
      </c>
      <c r="CS61" s="192" t="s">
        <v>364</v>
      </c>
      <c r="CT61" s="192" t="s">
        <v>365</v>
      </c>
      <c r="CU61" s="192">
        <v>7</v>
      </c>
      <c r="CV61" s="192" t="s">
        <v>367</v>
      </c>
      <c r="CW61" s="192" t="s">
        <v>368</v>
      </c>
      <c r="CX61" s="192" t="s">
        <v>369</v>
      </c>
      <c r="CY61" s="192">
        <v>8</v>
      </c>
      <c r="CZ61" s="192" t="s">
        <v>371</v>
      </c>
      <c r="DA61" s="192" t="s">
        <v>372</v>
      </c>
      <c r="DB61" s="192" t="s">
        <v>373</v>
      </c>
      <c r="DC61" s="192">
        <v>9</v>
      </c>
      <c r="DD61" s="192" t="s">
        <v>375</v>
      </c>
      <c r="DE61" s="192" t="s">
        <v>376</v>
      </c>
      <c r="DF61" s="192" t="s">
        <v>377</v>
      </c>
      <c r="DG61" s="192">
        <v>10</v>
      </c>
      <c r="DH61" s="192" t="s">
        <v>379</v>
      </c>
      <c r="DI61" s="192" t="s">
        <v>380</v>
      </c>
      <c r="DJ61" s="192" t="s">
        <v>381</v>
      </c>
      <c r="DK61" s="192">
        <v>11</v>
      </c>
      <c r="DL61" s="192" t="s">
        <v>1118</v>
      </c>
      <c r="DM61" s="192" t="s">
        <v>384</v>
      </c>
      <c r="DN61" s="192" t="s">
        <v>385</v>
      </c>
      <c r="DO61" s="192">
        <v>12</v>
      </c>
      <c r="DP61" s="192" t="s">
        <v>387</v>
      </c>
      <c r="DQ61" s="192" t="s">
        <v>388</v>
      </c>
      <c r="DR61" s="192" t="s">
        <v>389</v>
      </c>
      <c r="DS61" s="192">
        <v>13</v>
      </c>
      <c r="DT61" s="192" t="s">
        <v>391</v>
      </c>
      <c r="DU61" s="192" t="s">
        <v>392</v>
      </c>
      <c r="DV61" s="192" t="s">
        <v>393</v>
      </c>
      <c r="DW61" s="192">
        <v>14</v>
      </c>
      <c r="DX61" s="192" t="s">
        <v>395</v>
      </c>
      <c r="DY61" s="192" t="s">
        <v>396</v>
      </c>
      <c r="DZ61" s="192" t="s">
        <v>397</v>
      </c>
      <c r="EA61" s="192">
        <v>15</v>
      </c>
      <c r="EB61" s="192" t="s">
        <v>399</v>
      </c>
      <c r="EC61" s="192" t="s">
        <v>400</v>
      </c>
      <c r="ED61" s="192" t="s">
        <v>401</v>
      </c>
      <c r="EE61" s="192">
        <v>16</v>
      </c>
      <c r="EF61" s="192" t="s">
        <v>403</v>
      </c>
      <c r="EG61" s="192" t="s">
        <v>404</v>
      </c>
      <c r="EH61" s="192" t="s">
        <v>405</v>
      </c>
      <c r="EI61" s="192">
        <v>17</v>
      </c>
      <c r="EJ61" s="192" t="s">
        <v>407</v>
      </c>
      <c r="EK61" s="192" t="s">
        <v>408</v>
      </c>
      <c r="EL61" s="192" t="s">
        <v>409</v>
      </c>
      <c r="EM61" s="192">
        <v>18</v>
      </c>
      <c r="EN61" s="192" t="s">
        <v>411</v>
      </c>
    </row>
    <row r="62" spans="1:144" ht="15">
      <c r="B62" s="217"/>
      <c r="D62" s="218"/>
      <c r="E62" s="219"/>
      <c r="F62" s="218"/>
      <c r="M62" s="218"/>
      <c r="Q62" s="218"/>
      <c r="AB62" s="220"/>
      <c r="AE62" s="220"/>
      <c r="AG62" s="221"/>
      <c r="AK62" s="220"/>
      <c r="AL62" s="221"/>
      <c r="AN62" s="221"/>
      <c r="AP62" s="220"/>
      <c r="AY62" s="222"/>
      <c r="BA62" s="222"/>
      <c r="BC62" s="223"/>
      <c r="BG62" s="221"/>
      <c r="BI62" s="221"/>
      <c r="BK62" s="221"/>
      <c r="BQ62" s="220"/>
      <c r="BS62" s="224"/>
      <c r="BT62" s="225"/>
      <c r="EC62" s="222"/>
      <c r="ED62" s="222"/>
      <c r="EE62" s="222"/>
      <c r="EF62" s="222"/>
      <c r="EG62" s="222"/>
      <c r="EH62" s="222"/>
      <c r="EI62" s="222"/>
      <c r="EJ62" s="222"/>
      <c r="EK62" s="222"/>
      <c r="EL62" s="222"/>
      <c r="EM62" s="222"/>
      <c r="EN62" s="222"/>
    </row>
    <row r="63" spans="1:144" ht="15">
      <c r="B63" s="217"/>
      <c r="D63" s="218"/>
      <c r="E63" s="218"/>
      <c r="F63" s="218"/>
      <c r="M63" s="218"/>
      <c r="Q63" s="222"/>
      <c r="Y63" s="222"/>
      <c r="AB63" s="220"/>
      <c r="AE63" s="220"/>
      <c r="AG63" s="221"/>
      <c r="AK63" s="220"/>
      <c r="AL63" s="221"/>
      <c r="AN63" s="221"/>
      <c r="AP63" s="220"/>
      <c r="AY63" s="222"/>
      <c r="BA63" s="222"/>
      <c r="BC63" s="222"/>
      <c r="BG63" s="221"/>
      <c r="BI63" s="221"/>
      <c r="BK63" s="221"/>
      <c r="BQ63" s="220"/>
      <c r="BS63" s="226"/>
      <c r="EC63" s="222"/>
      <c r="ED63" s="222"/>
      <c r="EE63" s="222"/>
      <c r="EF63" s="222"/>
      <c r="EG63" s="222"/>
      <c r="EH63" s="222"/>
      <c r="EI63" s="222"/>
      <c r="EJ63" s="222"/>
      <c r="EK63" s="222"/>
      <c r="EL63" s="222"/>
      <c r="EM63" s="222"/>
      <c r="EN63" s="222"/>
    </row>
    <row r="64" spans="1:144" ht="15">
      <c r="B64" s="217"/>
      <c r="D64" s="218"/>
      <c r="E64" s="218"/>
      <c r="F64" s="218"/>
      <c r="M64" s="218"/>
      <c r="Q64" s="222"/>
      <c r="Y64" s="222"/>
      <c r="AB64" s="220"/>
      <c r="AE64" s="220"/>
      <c r="AG64" s="221"/>
      <c r="AK64" s="220"/>
      <c r="AL64" s="221"/>
      <c r="AN64" s="221"/>
      <c r="AP64" s="220"/>
      <c r="AY64" s="223"/>
      <c r="BA64" s="223"/>
      <c r="BC64" s="223"/>
      <c r="BG64" s="221"/>
      <c r="BI64" s="221"/>
      <c r="BK64" s="221"/>
      <c r="BQ64" s="220"/>
      <c r="BS64" s="226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2"/>
      <c r="CX64" s="222"/>
      <c r="CY64" s="222"/>
      <c r="CZ64" s="222"/>
      <c r="DA64" s="222"/>
      <c r="DB64" s="222"/>
      <c r="DC64" s="222"/>
      <c r="DD64" s="222"/>
      <c r="DE64" s="222"/>
      <c r="DF64" s="222"/>
      <c r="DG64" s="222"/>
      <c r="DH64" s="222"/>
      <c r="DI64" s="222"/>
      <c r="DJ64" s="222"/>
      <c r="DK64" s="222"/>
      <c r="DL64" s="222"/>
      <c r="DM64" s="222"/>
      <c r="DN64" s="222"/>
      <c r="DO64" s="222"/>
      <c r="DP64" s="222"/>
      <c r="DQ64" s="222"/>
      <c r="DR64" s="222"/>
      <c r="DS64" s="222"/>
      <c r="DT64" s="222"/>
      <c r="DU64" s="222"/>
      <c r="DV64" s="222"/>
      <c r="DW64" s="222"/>
      <c r="DX64" s="222"/>
      <c r="DY64" s="222"/>
      <c r="DZ64" s="222"/>
      <c r="EA64" s="222"/>
      <c r="EB64" s="222"/>
      <c r="EC64" s="222"/>
      <c r="ED64" s="222"/>
      <c r="EE64" s="222"/>
      <c r="EF64" s="222"/>
      <c r="EG64" s="222"/>
      <c r="EH64" s="222"/>
      <c r="EI64" s="222"/>
      <c r="EJ64" s="222"/>
      <c r="EK64" s="222"/>
      <c r="EL64" s="222"/>
      <c r="EM64" s="222"/>
      <c r="EN64" s="222"/>
    </row>
  </sheetData>
  <sheetProtection algorithmName="SHA-512" hashValue="6vibLFteB7tvQlYJXvhz1oleqqhBXVe5TYi+CS0z8e8mwkagztYMhSS28vQPTt5JlBiWOprKIE0WTuhfLf048A==" saltValue="7IjkEVHfFgtoprrzGxlqgA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Projekt a žadatel</vt:lpstr>
      <vt:lpstr>Žádost o změnu rozpočtu</vt:lpstr>
      <vt:lpstr>Žádost o změnu procenta</vt:lpstr>
      <vt:lpstr>Žádost o změnu indikátorů</vt:lpstr>
      <vt:lpstr>DB_rozpočtů</vt:lpstr>
      <vt:lpstr>'Projekt a žadatel'!Oblast_tisku</vt:lpstr>
      <vt:lpstr>'Žádost o změnu indikátorů'!Oblast_tisku</vt:lpstr>
      <vt:lpstr>'Žádost o změnu procenta'!Oblast_tisku</vt:lpstr>
      <vt:lpstr>'Žádost o změnu rozpočtu'!Oblast_tisku</vt:lpstr>
    </vt:vector>
  </TitlesOfParts>
  <Company>MŽP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 na podporu projektů NNO - změnový formulář</dc:title>
  <dc:creator>David Kunssberger</dc:creator>
  <dc:description>Verze 1.0</dc:description>
  <cp:lastModifiedBy>Petra Nováková Sádková</cp:lastModifiedBy>
  <cp:lastPrinted>2024-04-09T15:43:12Z</cp:lastPrinted>
  <dcterms:created xsi:type="dcterms:W3CDTF">2010-04-23T14:11:11Z</dcterms:created>
  <dcterms:modified xsi:type="dcterms:W3CDTF">2025-05-05T08:34:24Z</dcterms:modified>
</cp:coreProperties>
</file>